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tabRatio="760" firstSheet="6" activeTab="10"/>
  </bookViews>
  <sheets>
    <sheet name="engcivarq" sheetId="1" r:id="rId1"/>
    <sheet name="engmec" sheetId="2" r:id="rId2"/>
    <sheet name="engeletr" sheetId="3" r:id="rId3"/>
    <sheet name="horaextra" sheetId="5" r:id="rId4"/>
    <sheet name="Deslocamento 1 município" sheetId="7" r:id="rId5"/>
    <sheet name="Deslocamento 2 municípios" sheetId="8" r:id="rId6"/>
    <sheet name="Deslocamento 3 municípios" sheetId="9" r:id="rId7"/>
    <sheet name="Deslocamento 4 municípios" sheetId="10" r:id="rId8"/>
    <sheet name="Deslocamento 5 municípios" sheetId="11" r:id="rId9"/>
    <sheet name="DESLOC.MÉDIO" sheetId="12" r:id="rId10"/>
    <sheet name="total" sheetId="6" r:id="rId11"/>
  </sheets>
  <definedNames>
    <definedName name="_xlnm.Print_Area" localSheetId="9">DESLOC.MÉDIO!$A$1:$B$11</definedName>
    <definedName name="_xlnm.Print_Area" localSheetId="4">'Deslocamento 1 município'!#REF!</definedName>
    <definedName name="_xlnm.Print_Area" localSheetId="5">'Deslocamento 2 municípios'!$A$1:$R$47</definedName>
    <definedName name="_xlnm.Print_Area" localSheetId="6">'Deslocamento 3 municípios'!$A$1:$R$44</definedName>
    <definedName name="_xlnm.Print_Area" localSheetId="7">'Deslocamento 4 municípios'!$A$1:$R$40</definedName>
    <definedName name="_xlnm.Print_Area" localSheetId="8">'Deslocamento 5 municípios'!$A$1:$R$37</definedName>
    <definedName name="_xlnm.Print_Area" localSheetId="3">horaextra!$A$1:$M$33</definedName>
    <definedName name="_xlnm.Print_Titles" localSheetId="3">horaextra!$1:$12</definedName>
  </definedNames>
  <calcPr calcId="145621"/>
</workbook>
</file>

<file path=xl/calcChain.xml><?xml version="1.0" encoding="utf-8"?>
<calcChain xmlns="http://schemas.openxmlformats.org/spreadsheetml/2006/main">
  <c r="C102" i="2" l="1"/>
  <c r="C102" i="3"/>
  <c r="C102" i="1"/>
  <c r="C101" i="2"/>
  <c r="C101" i="3"/>
  <c r="C101" i="1"/>
  <c r="C100" i="2"/>
  <c r="C100" i="3"/>
  <c r="C100" i="1"/>
  <c r="C99" i="2"/>
  <c r="C99" i="3"/>
  <c r="C99" i="1"/>
  <c r="P15" i="8" l="1"/>
  <c r="P15" i="9"/>
  <c r="P15" i="10"/>
  <c r="P15" i="11"/>
  <c r="P15" i="7"/>
  <c r="G20" i="6" l="1"/>
  <c r="F20" i="6"/>
  <c r="C16" i="11" l="1"/>
  <c r="D16" i="11"/>
  <c r="F16" i="11"/>
  <c r="G16" i="11"/>
  <c r="H16" i="11" s="1"/>
  <c r="K16" i="11"/>
  <c r="N16" i="11"/>
  <c r="C17" i="11"/>
  <c r="D17" i="11"/>
  <c r="F17" i="11" s="1"/>
  <c r="K17" i="11"/>
  <c r="C18" i="11"/>
  <c r="D18" i="11"/>
  <c r="F18" i="11" s="1"/>
  <c r="K18" i="11"/>
  <c r="C19" i="11"/>
  <c r="D19" i="11"/>
  <c r="F19" i="11"/>
  <c r="G19" i="11"/>
  <c r="H19" i="11" s="1"/>
  <c r="K19" i="11"/>
  <c r="N19" i="11"/>
  <c r="C20" i="11"/>
  <c r="D20" i="11"/>
  <c r="F20" i="11" s="1"/>
  <c r="K20" i="11"/>
  <c r="C21" i="11"/>
  <c r="D21" i="11"/>
  <c r="F21" i="11" s="1"/>
  <c r="K21" i="11"/>
  <c r="C22" i="11"/>
  <c r="D22" i="11"/>
  <c r="F22" i="11"/>
  <c r="G22" i="11"/>
  <c r="H22" i="11"/>
  <c r="K22" i="11"/>
  <c r="N22" i="11"/>
  <c r="C23" i="11"/>
  <c r="D23" i="11"/>
  <c r="F23" i="11"/>
  <c r="N23" i="11" s="1"/>
  <c r="K23" i="11"/>
  <c r="C24" i="11"/>
  <c r="D24" i="11"/>
  <c r="F24" i="11" s="1"/>
  <c r="K24" i="11"/>
  <c r="C25" i="11"/>
  <c r="D25" i="11"/>
  <c r="F25" i="11"/>
  <c r="G25" i="11"/>
  <c r="H25" i="11" s="1"/>
  <c r="K25" i="11"/>
  <c r="N25" i="11"/>
  <c r="C26" i="11"/>
  <c r="D26" i="11"/>
  <c r="F26" i="11"/>
  <c r="N26" i="11" s="1"/>
  <c r="G26" i="11"/>
  <c r="H26" i="11" s="1"/>
  <c r="I26" i="11" s="1"/>
  <c r="M26" i="11" s="1"/>
  <c r="K26" i="11"/>
  <c r="C27" i="11"/>
  <c r="K27" i="11" s="1"/>
  <c r="D27" i="11"/>
  <c r="F27" i="11" s="1"/>
  <c r="C28" i="11"/>
  <c r="D28" i="11"/>
  <c r="F28" i="11"/>
  <c r="G28" i="11"/>
  <c r="H28" i="11"/>
  <c r="K28" i="11"/>
  <c r="N28" i="11"/>
  <c r="C29" i="11"/>
  <c r="D29" i="11"/>
  <c r="F29" i="11" s="1"/>
  <c r="K29" i="11"/>
  <c r="C30" i="11"/>
  <c r="K30" i="11" s="1"/>
  <c r="D30" i="11"/>
  <c r="F30" i="11"/>
  <c r="C31" i="11"/>
  <c r="D31" i="11"/>
  <c r="F31" i="11"/>
  <c r="G31" i="11"/>
  <c r="H31" i="11"/>
  <c r="K31" i="11"/>
  <c r="N31" i="11"/>
  <c r="C32" i="11"/>
  <c r="D32" i="11"/>
  <c r="F32" i="11"/>
  <c r="G32" i="11"/>
  <c r="H32" i="11" s="1"/>
  <c r="K32" i="11"/>
  <c r="N32" i="11"/>
  <c r="C33" i="11"/>
  <c r="D33" i="11"/>
  <c r="F33" i="11"/>
  <c r="K33" i="11"/>
  <c r="C34" i="11"/>
  <c r="D34" i="11"/>
  <c r="F34" i="11"/>
  <c r="G34" i="11"/>
  <c r="H34" i="11"/>
  <c r="I34" i="11"/>
  <c r="K34" i="11"/>
  <c r="N34" i="11"/>
  <c r="C35" i="11"/>
  <c r="D35" i="11"/>
  <c r="F35" i="11" s="1"/>
  <c r="K35" i="11"/>
  <c r="C16" i="10"/>
  <c r="D16" i="10"/>
  <c r="F16" i="10"/>
  <c r="G16" i="10"/>
  <c r="H16" i="10"/>
  <c r="I16" i="10" s="1"/>
  <c r="M16" i="10" s="1"/>
  <c r="K16" i="10"/>
  <c r="N16" i="10"/>
  <c r="C17" i="10"/>
  <c r="K17" i="10" s="1"/>
  <c r="D17" i="10"/>
  <c r="F17" i="10" s="1"/>
  <c r="C18" i="10"/>
  <c r="D18" i="10"/>
  <c r="F18" i="10"/>
  <c r="G18" i="10"/>
  <c r="H18" i="10" s="1"/>
  <c r="K18" i="10"/>
  <c r="N18" i="10"/>
  <c r="C19" i="10"/>
  <c r="D19" i="10"/>
  <c r="F19" i="10"/>
  <c r="G19" i="10" s="1"/>
  <c r="H19" i="10" s="1"/>
  <c r="K19" i="10"/>
  <c r="N19" i="10"/>
  <c r="C20" i="10"/>
  <c r="D20" i="10"/>
  <c r="F20" i="10"/>
  <c r="K20" i="10"/>
  <c r="C21" i="10"/>
  <c r="D21" i="10"/>
  <c r="F21" i="10"/>
  <c r="G21" i="10"/>
  <c r="H21" i="10"/>
  <c r="L21" i="10" s="1"/>
  <c r="I21" i="10"/>
  <c r="M21" i="10" s="1"/>
  <c r="K21" i="10"/>
  <c r="N21" i="10"/>
  <c r="C22" i="10"/>
  <c r="D22" i="10"/>
  <c r="F22" i="10" s="1"/>
  <c r="K22" i="10"/>
  <c r="C23" i="10"/>
  <c r="K23" i="10" s="1"/>
  <c r="D23" i="10"/>
  <c r="F23" i="10" s="1"/>
  <c r="C24" i="10"/>
  <c r="D24" i="10"/>
  <c r="F24" i="10"/>
  <c r="G24" i="10"/>
  <c r="H24" i="10" s="1"/>
  <c r="K24" i="10"/>
  <c r="N24" i="10"/>
  <c r="C25" i="10"/>
  <c r="D25" i="10"/>
  <c r="F25" i="10"/>
  <c r="G25" i="10"/>
  <c r="H25" i="10" s="1"/>
  <c r="K25" i="10"/>
  <c r="N25" i="10"/>
  <c r="C26" i="10"/>
  <c r="D26" i="10"/>
  <c r="F26" i="10"/>
  <c r="K26" i="10"/>
  <c r="C27" i="10"/>
  <c r="D27" i="10"/>
  <c r="F27" i="10"/>
  <c r="G27" i="10"/>
  <c r="H27" i="10" s="1"/>
  <c r="K27" i="10"/>
  <c r="N27" i="10"/>
  <c r="C28" i="10"/>
  <c r="D28" i="10"/>
  <c r="F28" i="10"/>
  <c r="G28" i="10"/>
  <c r="H28" i="10" s="1"/>
  <c r="K28" i="10"/>
  <c r="N28" i="10"/>
  <c r="C29" i="10"/>
  <c r="D29" i="10"/>
  <c r="F29" i="10"/>
  <c r="K29" i="10"/>
  <c r="C30" i="10"/>
  <c r="D30" i="10"/>
  <c r="F30" i="10"/>
  <c r="G30" i="10"/>
  <c r="H30" i="10" s="1"/>
  <c r="K30" i="10"/>
  <c r="N30" i="10"/>
  <c r="C31" i="10"/>
  <c r="D31" i="10"/>
  <c r="F31" i="10"/>
  <c r="G31" i="10"/>
  <c r="H31" i="10" s="1"/>
  <c r="K31" i="10"/>
  <c r="N31" i="10"/>
  <c r="C32" i="10"/>
  <c r="D32" i="10"/>
  <c r="F32" i="10"/>
  <c r="K32" i="10"/>
  <c r="C33" i="10"/>
  <c r="D33" i="10"/>
  <c r="F33" i="10"/>
  <c r="G33" i="10"/>
  <c r="H33" i="10" s="1"/>
  <c r="K33" i="10"/>
  <c r="N33" i="10"/>
  <c r="C34" i="10"/>
  <c r="D34" i="10"/>
  <c r="F34" i="10"/>
  <c r="G34" i="10"/>
  <c r="H34" i="10" s="1"/>
  <c r="K34" i="10"/>
  <c r="N34" i="10"/>
  <c r="C35" i="10"/>
  <c r="D35" i="10"/>
  <c r="F35" i="10"/>
  <c r="K35" i="10"/>
  <c r="C36" i="10"/>
  <c r="D36" i="10"/>
  <c r="F36" i="10"/>
  <c r="G36" i="10" s="1"/>
  <c r="H36" i="10" s="1"/>
  <c r="K36" i="10"/>
  <c r="N36" i="10"/>
  <c r="C37" i="10"/>
  <c r="D37" i="10"/>
  <c r="F37" i="10"/>
  <c r="G37" i="10" s="1"/>
  <c r="H37" i="10" s="1"/>
  <c r="K37" i="10"/>
  <c r="C38" i="10"/>
  <c r="D38" i="10"/>
  <c r="F38" i="10"/>
  <c r="N38" i="10" s="1"/>
  <c r="K38" i="10"/>
  <c r="C16" i="9"/>
  <c r="D16" i="9"/>
  <c r="F16" i="9"/>
  <c r="G16" i="9" s="1"/>
  <c r="H16" i="9" s="1"/>
  <c r="K16" i="9"/>
  <c r="C17" i="9"/>
  <c r="D17" i="9"/>
  <c r="F17" i="9" s="1"/>
  <c r="K17" i="9"/>
  <c r="C18" i="9"/>
  <c r="D18" i="9"/>
  <c r="F18" i="9" s="1"/>
  <c r="K18" i="9"/>
  <c r="C19" i="9"/>
  <c r="D19" i="9"/>
  <c r="F19" i="9"/>
  <c r="G19" i="9" s="1"/>
  <c r="H19" i="9" s="1"/>
  <c r="K19" i="9"/>
  <c r="N19" i="9"/>
  <c r="C20" i="9"/>
  <c r="K20" i="9" s="1"/>
  <c r="D20" i="9"/>
  <c r="F20" i="9" s="1"/>
  <c r="C21" i="9"/>
  <c r="D21" i="9"/>
  <c r="F21" i="9" s="1"/>
  <c r="K21" i="9"/>
  <c r="C22" i="9"/>
  <c r="D22" i="9"/>
  <c r="F22" i="9"/>
  <c r="G22" i="9"/>
  <c r="H22" i="9"/>
  <c r="I22" i="9"/>
  <c r="M22" i="9" s="1"/>
  <c r="K22" i="9"/>
  <c r="N22" i="9"/>
  <c r="C23" i="9"/>
  <c r="K23" i="9" s="1"/>
  <c r="D23" i="9"/>
  <c r="F23" i="9" s="1"/>
  <c r="C24" i="9"/>
  <c r="D24" i="9"/>
  <c r="F24" i="9" s="1"/>
  <c r="K24" i="9"/>
  <c r="C25" i="9"/>
  <c r="D25" i="9"/>
  <c r="F25" i="9"/>
  <c r="G25" i="9"/>
  <c r="H25" i="9"/>
  <c r="K25" i="9"/>
  <c r="N25" i="9"/>
  <c r="C26" i="9"/>
  <c r="K26" i="9" s="1"/>
  <c r="D26" i="9"/>
  <c r="F26" i="9" s="1"/>
  <c r="C27" i="9"/>
  <c r="K27" i="9" s="1"/>
  <c r="D27" i="9"/>
  <c r="F27" i="9" s="1"/>
  <c r="C28" i="9"/>
  <c r="D28" i="9"/>
  <c r="F28" i="9"/>
  <c r="G28" i="9"/>
  <c r="H28" i="9" s="1"/>
  <c r="K28" i="9"/>
  <c r="N28" i="9"/>
  <c r="C29" i="9"/>
  <c r="D29" i="9"/>
  <c r="F29" i="9"/>
  <c r="N29" i="9" s="1"/>
  <c r="G29" i="9"/>
  <c r="H29" i="9" s="1"/>
  <c r="I29" i="9" s="1"/>
  <c r="M29" i="9" s="1"/>
  <c r="K29" i="9"/>
  <c r="C30" i="9"/>
  <c r="K30" i="9" s="1"/>
  <c r="D30" i="9"/>
  <c r="F30" i="9" s="1"/>
  <c r="C31" i="9"/>
  <c r="D31" i="9"/>
  <c r="F31" i="9"/>
  <c r="G31" i="9" s="1"/>
  <c r="H31" i="9" s="1"/>
  <c r="K31" i="9"/>
  <c r="N31" i="9"/>
  <c r="C32" i="9"/>
  <c r="D32" i="9"/>
  <c r="F32" i="9"/>
  <c r="N32" i="9" s="1"/>
  <c r="G32" i="9"/>
  <c r="H32" i="9" s="1"/>
  <c r="K32" i="9"/>
  <c r="C33" i="9"/>
  <c r="D33" i="9"/>
  <c r="F33" i="9" s="1"/>
  <c r="K33" i="9"/>
  <c r="C34" i="9"/>
  <c r="D34" i="9"/>
  <c r="F34" i="9"/>
  <c r="G34" i="9" s="1"/>
  <c r="H34" i="9" s="1"/>
  <c r="K34" i="9"/>
  <c r="N34" i="9"/>
  <c r="C35" i="9"/>
  <c r="D35" i="9"/>
  <c r="F35" i="9"/>
  <c r="K35" i="9"/>
  <c r="C36" i="9"/>
  <c r="D36" i="9"/>
  <c r="F36" i="9" s="1"/>
  <c r="K36" i="9"/>
  <c r="C37" i="9"/>
  <c r="D37" i="9"/>
  <c r="F37" i="9"/>
  <c r="G37" i="9" s="1"/>
  <c r="H37" i="9" s="1"/>
  <c r="K37" i="9"/>
  <c r="N37" i="9"/>
  <c r="C38" i="9"/>
  <c r="K38" i="9" s="1"/>
  <c r="D38" i="9"/>
  <c r="F38" i="9" s="1"/>
  <c r="C39" i="9"/>
  <c r="K39" i="9" s="1"/>
  <c r="D39" i="9"/>
  <c r="F39" i="9" s="1"/>
  <c r="G39" i="9" s="1"/>
  <c r="H39" i="9" s="1"/>
  <c r="C40" i="9"/>
  <c r="D40" i="9"/>
  <c r="F40" i="9"/>
  <c r="N40" i="9" s="1"/>
  <c r="K40" i="9"/>
  <c r="C41" i="9"/>
  <c r="K41" i="9" s="1"/>
  <c r="D41" i="9"/>
  <c r="F41" i="9" s="1"/>
  <c r="C42" i="9"/>
  <c r="K42" i="9" s="1"/>
  <c r="D42" i="9"/>
  <c r="F42" i="9" s="1"/>
  <c r="N42" i="9" s="1"/>
  <c r="C16" i="8"/>
  <c r="D16" i="8"/>
  <c r="F16" i="8" s="1"/>
  <c r="G16" i="8"/>
  <c r="H16" i="8"/>
  <c r="I16" i="8" s="1"/>
  <c r="M16" i="8" s="1"/>
  <c r="K16" i="8"/>
  <c r="N16" i="8"/>
  <c r="C17" i="8"/>
  <c r="D17" i="8"/>
  <c r="F17" i="8"/>
  <c r="G17" i="8"/>
  <c r="H17" i="8"/>
  <c r="K17" i="8"/>
  <c r="N17" i="8"/>
  <c r="C18" i="8"/>
  <c r="D18" i="8"/>
  <c r="F18" i="8"/>
  <c r="G18" i="8"/>
  <c r="H18" i="8" s="1"/>
  <c r="I18" i="8" s="1"/>
  <c r="M18" i="8" s="1"/>
  <c r="K18" i="8"/>
  <c r="N18" i="8"/>
  <c r="C19" i="8"/>
  <c r="D19" i="8"/>
  <c r="F19" i="8" s="1"/>
  <c r="G19" i="8"/>
  <c r="H19" i="8" s="1"/>
  <c r="K19" i="8"/>
  <c r="N19" i="8"/>
  <c r="C20" i="8"/>
  <c r="D20" i="8"/>
  <c r="F20" i="8"/>
  <c r="G20" i="8" s="1"/>
  <c r="H20" i="8" s="1"/>
  <c r="K20" i="8"/>
  <c r="N20" i="8"/>
  <c r="C21" i="8"/>
  <c r="K21" i="8" s="1"/>
  <c r="D21" i="8"/>
  <c r="F21" i="8" s="1"/>
  <c r="C22" i="8"/>
  <c r="K22" i="8" s="1"/>
  <c r="D22" i="8"/>
  <c r="F22" i="8" s="1"/>
  <c r="N22" i="8" s="1"/>
  <c r="C23" i="8"/>
  <c r="D23" i="8"/>
  <c r="F23" i="8" s="1"/>
  <c r="K23" i="8"/>
  <c r="C24" i="8"/>
  <c r="K24" i="8" s="1"/>
  <c r="D24" i="8"/>
  <c r="F24" i="8"/>
  <c r="G24" i="8"/>
  <c r="H24" i="8" s="1"/>
  <c r="I24" i="8" s="1"/>
  <c r="M24" i="8"/>
  <c r="N24" i="8"/>
  <c r="C25" i="8"/>
  <c r="K25" i="8" s="1"/>
  <c r="D25" i="8"/>
  <c r="F25" i="8" s="1"/>
  <c r="G25" i="8" s="1"/>
  <c r="H25" i="8" s="1"/>
  <c r="C26" i="8"/>
  <c r="D26" i="8"/>
  <c r="F26" i="8" s="1"/>
  <c r="K26" i="8"/>
  <c r="C27" i="8"/>
  <c r="D27" i="8"/>
  <c r="F27" i="8"/>
  <c r="G27" i="8" s="1"/>
  <c r="H27" i="8" s="1"/>
  <c r="I27" i="8" s="1"/>
  <c r="K27" i="8"/>
  <c r="L27" i="8"/>
  <c r="M27" i="8"/>
  <c r="C28" i="8"/>
  <c r="D28" i="8"/>
  <c r="F28" i="8" s="1"/>
  <c r="N28" i="8" s="1"/>
  <c r="G28" i="8"/>
  <c r="H28" i="8" s="1"/>
  <c r="I28" i="8" s="1"/>
  <c r="M28" i="8" s="1"/>
  <c r="K28" i="8"/>
  <c r="C29" i="8"/>
  <c r="D29" i="8"/>
  <c r="F29" i="8" s="1"/>
  <c r="K29" i="8"/>
  <c r="C30" i="8"/>
  <c r="D30" i="8"/>
  <c r="F30" i="8" s="1"/>
  <c r="K30" i="8"/>
  <c r="C31" i="8"/>
  <c r="K31" i="8" s="1"/>
  <c r="D31" i="8"/>
  <c r="F31" i="8" s="1"/>
  <c r="G31" i="8" s="1"/>
  <c r="H31" i="8" s="1"/>
  <c r="I31" i="8" s="1"/>
  <c r="M31" i="8" s="1"/>
  <c r="C32" i="8"/>
  <c r="D32" i="8"/>
  <c r="F32" i="8" s="1"/>
  <c r="K32" i="8"/>
  <c r="C33" i="8"/>
  <c r="K33" i="8" s="1"/>
  <c r="D33" i="8"/>
  <c r="F33" i="8"/>
  <c r="G33" i="8"/>
  <c r="H33" i="8" s="1"/>
  <c r="I33" i="8" s="1"/>
  <c r="M33" i="8" s="1"/>
  <c r="N33" i="8"/>
  <c r="C34" i="8"/>
  <c r="K34" i="8" s="1"/>
  <c r="D34" i="8"/>
  <c r="F34" i="8" s="1"/>
  <c r="G34" i="8"/>
  <c r="H34" i="8"/>
  <c r="I34" i="8" s="1"/>
  <c r="M34" i="8" s="1"/>
  <c r="N34" i="8"/>
  <c r="C35" i="8"/>
  <c r="D35" i="8"/>
  <c r="F35" i="8"/>
  <c r="G35" i="8"/>
  <c r="H35" i="8"/>
  <c r="K35" i="8"/>
  <c r="N35" i="8"/>
  <c r="C36" i="8"/>
  <c r="D36" i="8"/>
  <c r="F36" i="8"/>
  <c r="G36" i="8"/>
  <c r="H36" i="8" s="1"/>
  <c r="K36" i="8"/>
  <c r="N36" i="8"/>
  <c r="C37" i="8"/>
  <c r="D37" i="8"/>
  <c r="F37" i="8" s="1"/>
  <c r="N37" i="8" s="1"/>
  <c r="K37" i="8"/>
  <c r="C38" i="8"/>
  <c r="D38" i="8"/>
  <c r="F38" i="8"/>
  <c r="G38" i="8" s="1"/>
  <c r="H38" i="8" s="1"/>
  <c r="K38" i="8"/>
  <c r="C39" i="8"/>
  <c r="K39" i="8" s="1"/>
  <c r="D39" i="8"/>
  <c r="F39" i="8"/>
  <c r="N39" i="8" s="1"/>
  <c r="C40" i="8"/>
  <c r="K40" i="8" s="1"/>
  <c r="D40" i="8"/>
  <c r="F40" i="8" s="1"/>
  <c r="N40" i="8" s="1"/>
  <c r="G40" i="8"/>
  <c r="H40" i="8" s="1"/>
  <c r="C41" i="8"/>
  <c r="D41" i="8"/>
  <c r="F41" i="8" s="1"/>
  <c r="K41" i="8"/>
  <c r="C42" i="8"/>
  <c r="K42" i="8" s="1"/>
  <c r="D42" i="8"/>
  <c r="F42" i="8" s="1"/>
  <c r="C43" i="8"/>
  <c r="D43" i="8"/>
  <c r="F43" i="8" s="1"/>
  <c r="N43" i="8" s="1"/>
  <c r="K43" i="8"/>
  <c r="C44" i="8"/>
  <c r="D44" i="8"/>
  <c r="F44" i="8"/>
  <c r="G44" i="8"/>
  <c r="H44" i="8" s="1"/>
  <c r="I44" i="8" s="1"/>
  <c r="M44" i="8" s="1"/>
  <c r="K44" i="8"/>
  <c r="L44" i="8"/>
  <c r="N44" i="8"/>
  <c r="C45" i="8"/>
  <c r="K45" i="8" s="1"/>
  <c r="D45" i="8"/>
  <c r="F45" i="8" s="1"/>
  <c r="C16" i="7"/>
  <c r="K16" i="7" s="1"/>
  <c r="D16" i="7"/>
  <c r="F16" i="7"/>
  <c r="N16" i="7" s="1"/>
  <c r="G16" i="7"/>
  <c r="H16" i="7" s="1"/>
  <c r="L16" i="7" s="1"/>
  <c r="I16" i="7"/>
  <c r="M16" i="7" s="1"/>
  <c r="C17" i="7"/>
  <c r="K17" i="7" s="1"/>
  <c r="D17" i="7"/>
  <c r="F17" i="7" s="1"/>
  <c r="G17" i="7" s="1"/>
  <c r="H17" i="7" s="1"/>
  <c r="N17" i="7"/>
  <c r="C18" i="7"/>
  <c r="D18" i="7"/>
  <c r="F18" i="7"/>
  <c r="N18" i="7" s="1"/>
  <c r="K18" i="7"/>
  <c r="C19" i="7"/>
  <c r="D19" i="7"/>
  <c r="F19" i="7"/>
  <c r="N19" i="7" s="1"/>
  <c r="G19" i="7"/>
  <c r="H19" i="7" s="1"/>
  <c r="I19" i="7" s="1"/>
  <c r="K19" i="7"/>
  <c r="C20" i="7"/>
  <c r="K20" i="7" s="1"/>
  <c r="D20" i="7"/>
  <c r="F20" i="7" s="1"/>
  <c r="G20" i="7"/>
  <c r="H20" i="7"/>
  <c r="I20" i="7" s="1"/>
  <c r="L20" i="7"/>
  <c r="N20" i="7"/>
  <c r="C21" i="7"/>
  <c r="D21" i="7"/>
  <c r="F21" i="7" s="1"/>
  <c r="K21" i="7"/>
  <c r="C22" i="7"/>
  <c r="K22" i="7" s="1"/>
  <c r="D22" i="7"/>
  <c r="F22" i="7"/>
  <c r="G22" i="7" s="1"/>
  <c r="H22" i="7" s="1"/>
  <c r="I22" i="7" s="1"/>
  <c r="M22" i="7" s="1"/>
  <c r="C23" i="7"/>
  <c r="D23" i="7"/>
  <c r="F23" i="7" s="1"/>
  <c r="N23" i="7" s="1"/>
  <c r="G23" i="7"/>
  <c r="H23" i="7" s="1"/>
  <c r="I23" i="7"/>
  <c r="K23" i="7"/>
  <c r="L23" i="7"/>
  <c r="C24" i="7"/>
  <c r="D24" i="7"/>
  <c r="F24" i="7" s="1"/>
  <c r="K24" i="7"/>
  <c r="C25" i="7"/>
  <c r="K25" i="7" s="1"/>
  <c r="D25" i="7"/>
  <c r="F25" i="7" s="1"/>
  <c r="N25" i="7" s="1"/>
  <c r="C26" i="7"/>
  <c r="D26" i="7"/>
  <c r="F26" i="7" s="1"/>
  <c r="G26" i="7" s="1"/>
  <c r="H26" i="7"/>
  <c r="L26" i="7" s="1"/>
  <c r="I26" i="7"/>
  <c r="K26" i="7"/>
  <c r="C27" i="7"/>
  <c r="D27" i="7"/>
  <c r="F27" i="7" s="1"/>
  <c r="G27" i="7"/>
  <c r="H27" i="7"/>
  <c r="I27" i="7"/>
  <c r="K27" i="7"/>
  <c r="L27" i="7"/>
  <c r="N27" i="7"/>
  <c r="C28" i="7"/>
  <c r="K28" i="7" s="1"/>
  <c r="D28" i="7"/>
  <c r="F28" i="7"/>
  <c r="G28" i="7"/>
  <c r="H28" i="7" s="1"/>
  <c r="I28" i="7"/>
  <c r="L28" i="7"/>
  <c r="N28" i="7"/>
  <c r="C29" i="7"/>
  <c r="K29" i="7" s="1"/>
  <c r="D29" i="7"/>
  <c r="F29" i="7" s="1"/>
  <c r="G29" i="7"/>
  <c r="H29" i="7" s="1"/>
  <c r="N29" i="7"/>
  <c r="C30" i="7"/>
  <c r="D30" i="7"/>
  <c r="F30" i="7"/>
  <c r="G30" i="7" s="1"/>
  <c r="H30" i="7" s="1"/>
  <c r="K30" i="7"/>
  <c r="N30" i="7"/>
  <c r="C31" i="7"/>
  <c r="D31" i="7"/>
  <c r="F31" i="7"/>
  <c r="G31" i="7" s="1"/>
  <c r="H31" i="7" s="1"/>
  <c r="K31" i="7"/>
  <c r="C32" i="7"/>
  <c r="D32" i="7"/>
  <c r="F32" i="7" s="1"/>
  <c r="N32" i="7" s="1"/>
  <c r="G32" i="7"/>
  <c r="H32" i="7"/>
  <c r="L32" i="7" s="1"/>
  <c r="K32" i="7"/>
  <c r="C33" i="7"/>
  <c r="K33" i="7" s="1"/>
  <c r="D33" i="7"/>
  <c r="F33" i="7"/>
  <c r="N33" i="7" s="1"/>
  <c r="G33" i="7"/>
  <c r="H33" i="7"/>
  <c r="I33" i="7" s="1"/>
  <c r="M33" i="7" s="1"/>
  <c r="C34" i="7"/>
  <c r="K34" i="7" s="1"/>
  <c r="D34" i="7"/>
  <c r="F34" i="7"/>
  <c r="C35" i="7"/>
  <c r="D35" i="7"/>
  <c r="F35" i="7"/>
  <c r="N35" i="7" s="1"/>
  <c r="G35" i="7"/>
  <c r="H35" i="7"/>
  <c r="L35" i="7" s="1"/>
  <c r="K35" i="7"/>
  <c r="C36" i="7"/>
  <c r="K36" i="7" s="1"/>
  <c r="D36" i="7"/>
  <c r="F36" i="7"/>
  <c r="G36" i="7"/>
  <c r="H36" i="7"/>
  <c r="I36" i="7" s="1"/>
  <c r="N36" i="7"/>
  <c r="C37" i="7"/>
  <c r="K37" i="7" s="1"/>
  <c r="D37" i="7"/>
  <c r="F37" i="7"/>
  <c r="O21" i="10" l="1"/>
  <c r="M28" i="7"/>
  <c r="O28" i="7" s="1"/>
  <c r="P28" i="7" s="1"/>
  <c r="Q28" i="7" s="1"/>
  <c r="R28" i="7" s="1"/>
  <c r="M19" i="7"/>
  <c r="L25" i="9"/>
  <c r="M23" i="7"/>
  <c r="O23" i="7" s="1"/>
  <c r="M20" i="7"/>
  <c r="L22" i="9"/>
  <c r="M34" i="11"/>
  <c r="O34" i="11" s="1"/>
  <c r="P34" i="11" s="1"/>
  <c r="Q34" i="11" s="1"/>
  <c r="R34" i="11" s="1"/>
  <c r="L31" i="11"/>
  <c r="M27" i="7"/>
  <c r="O27" i="7" s="1"/>
  <c r="P27" i="7" s="1"/>
  <c r="Q27" i="7" s="1"/>
  <c r="R27" i="7" s="1"/>
  <c r="M26" i="7"/>
  <c r="L34" i="11"/>
  <c r="L28" i="11"/>
  <c r="O20" i="7"/>
  <c r="M36" i="7"/>
  <c r="L36" i="8"/>
  <c r="L35" i="8"/>
  <c r="L17" i="8"/>
  <c r="L30" i="7"/>
  <c r="I30" i="7"/>
  <c r="M30" i="7" s="1"/>
  <c r="L31" i="7"/>
  <c r="I31" i="7"/>
  <c r="M31" i="7" s="1"/>
  <c r="L29" i="7"/>
  <c r="I29" i="7"/>
  <c r="M29" i="7" s="1"/>
  <c r="O29" i="7" s="1"/>
  <c r="G45" i="8"/>
  <c r="H45" i="8" s="1"/>
  <c r="N45" i="8"/>
  <c r="N42" i="8"/>
  <c r="G42" i="8"/>
  <c r="H42" i="8" s="1"/>
  <c r="I38" i="8"/>
  <c r="M38" i="8" s="1"/>
  <c r="L38" i="8"/>
  <c r="G21" i="8"/>
  <c r="H21" i="8" s="1"/>
  <c r="N21" i="8"/>
  <c r="G41" i="9"/>
  <c r="H41" i="9" s="1"/>
  <c r="N41" i="9"/>
  <c r="L39" i="9"/>
  <c r="I39" i="9"/>
  <c r="M39" i="9" s="1"/>
  <c r="N21" i="7"/>
  <c r="G21" i="7"/>
  <c r="H21" i="7" s="1"/>
  <c r="L17" i="7"/>
  <c r="I17" i="7"/>
  <c r="M17" i="7" s="1"/>
  <c r="G29" i="8"/>
  <c r="H29" i="8" s="1"/>
  <c r="N29" i="8"/>
  <c r="N23" i="8"/>
  <c r="G23" i="8"/>
  <c r="H23" i="8" s="1"/>
  <c r="G38" i="9"/>
  <c r="H38" i="9" s="1"/>
  <c r="N38" i="9"/>
  <c r="N41" i="8"/>
  <c r="G41" i="8"/>
  <c r="H41" i="8" s="1"/>
  <c r="N26" i="8"/>
  <c r="G26" i="8"/>
  <c r="H26" i="8" s="1"/>
  <c r="L19" i="8"/>
  <c r="I19" i="8"/>
  <c r="M19" i="8" s="1"/>
  <c r="G24" i="7"/>
  <c r="H24" i="7" s="1"/>
  <c r="N24" i="7"/>
  <c r="L20" i="8"/>
  <c r="I20" i="8"/>
  <c r="M20" i="8" s="1"/>
  <c r="I40" i="8"/>
  <c r="M40" i="8" s="1"/>
  <c r="L40" i="8"/>
  <c r="O40" i="8" s="1"/>
  <c r="I25" i="8"/>
  <c r="M25" i="8" s="1"/>
  <c r="L25" i="8"/>
  <c r="O25" i="8" s="1"/>
  <c r="N31" i="7"/>
  <c r="G34" i="7"/>
  <c r="H34" i="7" s="1"/>
  <c r="N34" i="7"/>
  <c r="L33" i="8"/>
  <c r="O33" i="8" s="1"/>
  <c r="L36" i="7"/>
  <c r="L33" i="7"/>
  <c r="O33" i="7" s="1"/>
  <c r="N26" i="7"/>
  <c r="L22" i="7"/>
  <c r="L34" i="8"/>
  <c r="O34" i="8" s="1"/>
  <c r="L31" i="8"/>
  <c r="O31" i="8" s="1"/>
  <c r="L16" i="8"/>
  <c r="O25" i="9"/>
  <c r="I35" i="7"/>
  <c r="M35" i="7" s="1"/>
  <c r="O35" i="7" s="1"/>
  <c r="I32" i="7"/>
  <c r="M32" i="7" s="1"/>
  <c r="O32" i="7" s="1"/>
  <c r="L19" i="7"/>
  <c r="O19" i="7" s="1"/>
  <c r="O16" i="7"/>
  <c r="G32" i="8"/>
  <c r="H32" i="8" s="1"/>
  <c r="N32" i="8"/>
  <c r="L28" i="8"/>
  <c r="O28" i="8" s="1"/>
  <c r="N27" i="8"/>
  <c r="N25" i="8"/>
  <c r="G22" i="8"/>
  <c r="H22" i="8" s="1"/>
  <c r="O16" i="8"/>
  <c r="G42" i="9"/>
  <c r="H42" i="9" s="1"/>
  <c r="O22" i="9"/>
  <c r="L19" i="9"/>
  <c r="I19" i="9"/>
  <c r="M19" i="9" s="1"/>
  <c r="O26" i="7"/>
  <c r="G25" i="7"/>
  <c r="H25" i="7" s="1"/>
  <c r="G18" i="7"/>
  <c r="H18" i="7" s="1"/>
  <c r="O44" i="8"/>
  <c r="G39" i="8"/>
  <c r="H39" i="8" s="1"/>
  <c r="N38" i="8"/>
  <c r="G37" i="8"/>
  <c r="H37" i="8" s="1"/>
  <c r="I35" i="8"/>
  <c r="M35" i="8" s="1"/>
  <c r="O35" i="8" s="1"/>
  <c r="I17" i="8"/>
  <c r="M17" i="8" s="1"/>
  <c r="O17" i="8" s="1"/>
  <c r="G40" i="9"/>
  <c r="H40" i="9" s="1"/>
  <c r="N39" i="9"/>
  <c r="I32" i="9"/>
  <c r="M32" i="9" s="1"/>
  <c r="O32" i="9" s="1"/>
  <c r="L32" i="9"/>
  <c r="L31" i="9"/>
  <c r="I31" i="9"/>
  <c r="M31" i="9" s="1"/>
  <c r="L28" i="9"/>
  <c r="I28" i="9"/>
  <c r="M28" i="9" s="1"/>
  <c r="N26" i="9"/>
  <c r="G26" i="9"/>
  <c r="H26" i="9" s="1"/>
  <c r="N23" i="9"/>
  <c r="G23" i="9"/>
  <c r="H23" i="9" s="1"/>
  <c r="O18" i="8"/>
  <c r="L37" i="9"/>
  <c r="I37" i="9"/>
  <c r="M37" i="9" s="1"/>
  <c r="N20" i="9"/>
  <c r="G20" i="9"/>
  <c r="H20" i="9" s="1"/>
  <c r="N22" i="7"/>
  <c r="G43" i="8"/>
  <c r="H43" i="8" s="1"/>
  <c r="I36" i="8"/>
  <c r="M36" i="8" s="1"/>
  <c r="O27" i="8"/>
  <c r="L24" i="8"/>
  <c r="O24" i="8" s="1"/>
  <c r="I37" i="10"/>
  <c r="M37" i="10" s="1"/>
  <c r="L37" i="10"/>
  <c r="G37" i="7"/>
  <c r="H37" i="7" s="1"/>
  <c r="N37" i="7"/>
  <c r="N31" i="8"/>
  <c r="N30" i="8"/>
  <c r="G30" i="8"/>
  <c r="H30" i="8" s="1"/>
  <c r="L18" i="8"/>
  <c r="N35" i="9"/>
  <c r="G35" i="9"/>
  <c r="H35" i="9" s="1"/>
  <c r="L34" i="9"/>
  <c r="I34" i="9"/>
  <c r="M34" i="9" s="1"/>
  <c r="L16" i="9"/>
  <c r="I16" i="9"/>
  <c r="M16" i="9" s="1"/>
  <c r="O31" i="7"/>
  <c r="G21" i="9"/>
  <c r="H21" i="9" s="1"/>
  <c r="N21" i="9"/>
  <c r="N16" i="9"/>
  <c r="L33" i="10"/>
  <c r="I33" i="10"/>
  <c r="M33" i="10" s="1"/>
  <c r="I25" i="10"/>
  <c r="M25" i="10" s="1"/>
  <c r="L25" i="10"/>
  <c r="G36" i="9"/>
  <c r="H36" i="9" s="1"/>
  <c r="N36" i="9"/>
  <c r="N37" i="10"/>
  <c r="N22" i="10"/>
  <c r="G22" i="10"/>
  <c r="H22" i="10" s="1"/>
  <c r="I32" i="11"/>
  <c r="M32" i="11" s="1"/>
  <c r="L32" i="11"/>
  <c r="G33" i="9"/>
  <c r="H33" i="9" s="1"/>
  <c r="N33" i="9"/>
  <c r="G38" i="10"/>
  <c r="H38" i="10" s="1"/>
  <c r="I28" i="10"/>
  <c r="M28" i="10" s="1"/>
  <c r="L28" i="10"/>
  <c r="O28" i="10" s="1"/>
  <c r="L27" i="10"/>
  <c r="I27" i="10"/>
  <c r="M27" i="10" s="1"/>
  <c r="G17" i="10"/>
  <c r="H17" i="10" s="1"/>
  <c r="N17" i="10"/>
  <c r="G30" i="9"/>
  <c r="H30" i="9" s="1"/>
  <c r="N30" i="9"/>
  <c r="L29" i="9"/>
  <c r="O29" i="9" s="1"/>
  <c r="I25" i="9"/>
  <c r="M25" i="9" s="1"/>
  <c r="L36" i="10"/>
  <c r="I36" i="10"/>
  <c r="M36" i="10" s="1"/>
  <c r="N35" i="11"/>
  <c r="G35" i="11"/>
  <c r="H35" i="11" s="1"/>
  <c r="G27" i="9"/>
  <c r="H27" i="9" s="1"/>
  <c r="N27" i="9"/>
  <c r="G18" i="9"/>
  <c r="H18" i="9" s="1"/>
  <c r="N18" i="9"/>
  <c r="G17" i="9"/>
  <c r="H17" i="9" s="1"/>
  <c r="N17" i="9"/>
  <c r="I31" i="10"/>
  <c r="M31" i="10" s="1"/>
  <c r="L31" i="10"/>
  <c r="L30" i="10"/>
  <c r="I30" i="10"/>
  <c r="M30" i="10" s="1"/>
  <c r="G23" i="10"/>
  <c r="H23" i="10" s="1"/>
  <c r="N23" i="10"/>
  <c r="P21" i="10"/>
  <c r="Q21" i="10" s="1"/>
  <c r="R21" i="10" s="1"/>
  <c r="L18" i="10"/>
  <c r="I18" i="10"/>
  <c r="M18" i="10" s="1"/>
  <c r="G29" i="11"/>
  <c r="H29" i="11" s="1"/>
  <c r="N29" i="11"/>
  <c r="L25" i="11"/>
  <c r="I25" i="11"/>
  <c r="M25" i="11" s="1"/>
  <c r="G24" i="9"/>
  <c r="H24" i="9" s="1"/>
  <c r="N24" i="9"/>
  <c r="I19" i="10"/>
  <c r="M19" i="10" s="1"/>
  <c r="L19" i="10"/>
  <c r="O19" i="10" s="1"/>
  <c r="I34" i="10"/>
  <c r="M34" i="10" s="1"/>
  <c r="L34" i="10"/>
  <c r="L24" i="10"/>
  <c r="I24" i="10"/>
  <c r="M24" i="10" s="1"/>
  <c r="I31" i="11"/>
  <c r="M31" i="11" s="1"/>
  <c r="O31" i="11" s="1"/>
  <c r="G23" i="11"/>
  <c r="H23" i="11" s="1"/>
  <c r="L16" i="10"/>
  <c r="O16" i="10" s="1"/>
  <c r="G30" i="11"/>
  <c r="H30" i="11" s="1"/>
  <c r="N30" i="11"/>
  <c r="L26" i="11"/>
  <c r="O26" i="11" s="1"/>
  <c r="I22" i="11"/>
  <c r="M22" i="11" s="1"/>
  <c r="L22" i="11"/>
  <c r="O22" i="11" s="1"/>
  <c r="I19" i="11"/>
  <c r="M19" i="11" s="1"/>
  <c r="L19" i="11"/>
  <c r="G17" i="11"/>
  <c r="H17" i="11" s="1"/>
  <c r="N17" i="11"/>
  <c r="I28" i="11"/>
  <c r="M28" i="11" s="1"/>
  <c r="O28" i="11" s="1"/>
  <c r="G27" i="11"/>
  <c r="H27" i="11" s="1"/>
  <c r="N27" i="11"/>
  <c r="G18" i="11"/>
  <c r="H18" i="11" s="1"/>
  <c r="N18" i="11"/>
  <c r="G20" i="11"/>
  <c r="H20" i="11" s="1"/>
  <c r="N20" i="11"/>
  <c r="G35" i="10"/>
  <c r="H35" i="10" s="1"/>
  <c r="N35" i="10"/>
  <c r="G32" i="10"/>
  <c r="H32" i="10" s="1"/>
  <c r="N32" i="10"/>
  <c r="G29" i="10"/>
  <c r="H29" i="10" s="1"/>
  <c r="N29" i="10"/>
  <c r="G26" i="10"/>
  <c r="H26" i="10" s="1"/>
  <c r="N26" i="10"/>
  <c r="G20" i="10"/>
  <c r="H20" i="10" s="1"/>
  <c r="N20" i="10"/>
  <c r="G21" i="11"/>
  <c r="H21" i="11" s="1"/>
  <c r="N21" i="11"/>
  <c r="G33" i="11"/>
  <c r="H33" i="11" s="1"/>
  <c r="N33" i="11"/>
  <c r="G24" i="11"/>
  <c r="H24" i="11" s="1"/>
  <c r="N24" i="11"/>
  <c r="I16" i="11"/>
  <c r="M16" i="11" s="1"/>
  <c r="L16" i="11"/>
  <c r="O16" i="11" s="1"/>
  <c r="B16" i="6"/>
  <c r="B15" i="6"/>
  <c r="B14" i="6"/>
  <c r="D7" i="6"/>
  <c r="B7" i="6"/>
  <c r="D6" i="6"/>
  <c r="B6" i="6"/>
  <c r="D5" i="6"/>
  <c r="B5" i="6"/>
  <c r="O32" i="11" l="1"/>
  <c r="O34" i="9"/>
  <c r="O17" i="7"/>
  <c r="O18" i="10"/>
  <c r="P18" i="10" s="1"/>
  <c r="O22" i="7"/>
  <c r="P22" i="7" s="1"/>
  <c r="Q22" i="7" s="1"/>
  <c r="R22" i="7" s="1"/>
  <c r="O25" i="11"/>
  <c r="P25" i="11" s="1"/>
  <c r="Q25" i="11" s="1"/>
  <c r="R25" i="11" s="1"/>
  <c r="O39" i="9"/>
  <c r="P39" i="9" s="1"/>
  <c r="Q39" i="9" s="1"/>
  <c r="R39" i="9" s="1"/>
  <c r="O36" i="7"/>
  <c r="P36" i="7" s="1"/>
  <c r="Q36" i="7" s="1"/>
  <c r="R36" i="7" s="1"/>
  <c r="P20" i="7"/>
  <c r="Q20" i="7" s="1"/>
  <c r="R20" i="7" s="1"/>
  <c r="O19" i="11"/>
  <c r="P19" i="11" s="1"/>
  <c r="O36" i="8"/>
  <c r="P36" i="8" s="1"/>
  <c r="Q36" i="8" s="1"/>
  <c r="R36" i="8" s="1"/>
  <c r="P34" i="8"/>
  <c r="Q34" i="8" s="1"/>
  <c r="R34" i="8" s="1"/>
  <c r="P17" i="8"/>
  <c r="Q17" i="8" s="1"/>
  <c r="R17" i="8" s="1"/>
  <c r="P28" i="8"/>
  <c r="Q28" i="8" s="1"/>
  <c r="R28" i="8" s="1"/>
  <c r="P35" i="7"/>
  <c r="Q35" i="7" s="1"/>
  <c r="R35" i="7" s="1"/>
  <c r="P35" i="8"/>
  <c r="Q35" i="8" s="1"/>
  <c r="R35" i="8" s="1"/>
  <c r="P25" i="8"/>
  <c r="Q25" i="8" s="1"/>
  <c r="R25" i="8" s="1"/>
  <c r="P17" i="7"/>
  <c r="Q17" i="7" s="1"/>
  <c r="R17" i="7" s="1"/>
  <c r="P24" i="8"/>
  <c r="Q24" i="8" s="1"/>
  <c r="R24" i="8" s="1"/>
  <c r="P31" i="8"/>
  <c r="Q31" i="8" s="1"/>
  <c r="R31" i="8" s="1"/>
  <c r="P33" i="8"/>
  <c r="Q33" i="8"/>
  <c r="R33" i="8" s="1"/>
  <c r="I35" i="10"/>
  <c r="M35" i="10" s="1"/>
  <c r="L35" i="10"/>
  <c r="I29" i="10"/>
  <c r="M29" i="10" s="1"/>
  <c r="L29" i="10"/>
  <c r="L30" i="11"/>
  <c r="I30" i="11"/>
  <c r="M30" i="11" s="1"/>
  <c r="O36" i="10"/>
  <c r="P16" i="10"/>
  <c r="Q16" i="10" s="1"/>
  <c r="R16" i="10" s="1"/>
  <c r="I29" i="11"/>
  <c r="M29" i="11" s="1"/>
  <c r="L29" i="11"/>
  <c r="I35" i="11"/>
  <c r="M35" i="11" s="1"/>
  <c r="L35" i="11"/>
  <c r="P28" i="11"/>
  <c r="Q28" i="11" s="1"/>
  <c r="R28" i="11" s="1"/>
  <c r="I24" i="11"/>
  <c r="M24" i="11" s="1"/>
  <c r="L24" i="11"/>
  <c r="I32" i="10"/>
  <c r="M32" i="10" s="1"/>
  <c r="L32" i="10"/>
  <c r="O32" i="10" s="1"/>
  <c r="P22" i="11"/>
  <c r="Q22" i="11" s="1"/>
  <c r="R22" i="11" s="1"/>
  <c r="P32" i="11"/>
  <c r="Q32" i="11" s="1"/>
  <c r="R32" i="11" s="1"/>
  <c r="I30" i="8"/>
  <c r="M30" i="8" s="1"/>
  <c r="L30" i="8"/>
  <c r="I23" i="9"/>
  <c r="M23" i="9" s="1"/>
  <c r="L23" i="9"/>
  <c r="O23" i="9" s="1"/>
  <c r="O19" i="9"/>
  <c r="P40" i="8"/>
  <c r="Q40" i="8" s="1"/>
  <c r="R40" i="8" s="1"/>
  <c r="O19" i="8"/>
  <c r="I38" i="9"/>
  <c r="M38" i="9" s="1"/>
  <c r="L38" i="9"/>
  <c r="L21" i="8"/>
  <c r="I21" i="8"/>
  <c r="M21" i="8" s="1"/>
  <c r="I23" i="11"/>
  <c r="M23" i="11" s="1"/>
  <c r="L23" i="11"/>
  <c r="O34" i="10"/>
  <c r="I24" i="9"/>
  <c r="M24" i="9" s="1"/>
  <c r="L24" i="9"/>
  <c r="O24" i="9" s="1"/>
  <c r="O30" i="10"/>
  <c r="L18" i="9"/>
  <c r="I18" i="9"/>
  <c r="M18" i="9" s="1"/>
  <c r="L38" i="10"/>
  <c r="I38" i="10"/>
  <c r="M38" i="10" s="1"/>
  <c r="O25" i="10"/>
  <c r="I21" i="9"/>
  <c r="M21" i="9" s="1"/>
  <c r="L21" i="9"/>
  <c r="I20" i="9"/>
  <c r="M20" i="9" s="1"/>
  <c r="L20" i="9"/>
  <c r="O37" i="9"/>
  <c r="O31" i="9"/>
  <c r="I18" i="7"/>
  <c r="M18" i="7" s="1"/>
  <c r="L18" i="7"/>
  <c r="P22" i="9"/>
  <c r="Q22" i="9" s="1"/>
  <c r="R22" i="9" s="1"/>
  <c r="I26" i="8"/>
  <c r="M26" i="8" s="1"/>
  <c r="L26" i="8"/>
  <c r="I45" i="8"/>
  <c r="M45" i="8" s="1"/>
  <c r="L45" i="8"/>
  <c r="L18" i="11"/>
  <c r="I18" i="11"/>
  <c r="M18" i="11" s="1"/>
  <c r="P26" i="11"/>
  <c r="Q26" i="11" s="1"/>
  <c r="R26" i="11" s="1"/>
  <c r="P31" i="11"/>
  <c r="Q31" i="11" s="1"/>
  <c r="R31" i="11" s="1"/>
  <c r="O31" i="10"/>
  <c r="I17" i="10"/>
  <c r="M17" i="10" s="1"/>
  <c r="L17" i="10"/>
  <c r="I22" i="10"/>
  <c r="M22" i="10" s="1"/>
  <c r="L22" i="10"/>
  <c r="O22" i="10" s="1"/>
  <c r="P34" i="9"/>
  <c r="Q34" i="9" s="1"/>
  <c r="R34" i="9" s="1"/>
  <c r="I26" i="9"/>
  <c r="M26" i="9" s="1"/>
  <c r="L26" i="9"/>
  <c r="P19" i="7"/>
  <c r="Q19" i="7" s="1"/>
  <c r="R19" i="7" s="1"/>
  <c r="I24" i="7"/>
  <c r="M24" i="7" s="1"/>
  <c r="L24" i="7"/>
  <c r="O24" i="7" s="1"/>
  <c r="I23" i="8"/>
  <c r="M23" i="8" s="1"/>
  <c r="L23" i="8"/>
  <c r="O23" i="8" s="1"/>
  <c r="O38" i="8"/>
  <c r="P23" i="7"/>
  <c r="Q23" i="7" s="1"/>
  <c r="R23" i="7" s="1"/>
  <c r="I33" i="9"/>
  <c r="M33" i="9" s="1"/>
  <c r="L33" i="9"/>
  <c r="O33" i="9" s="1"/>
  <c r="P31" i="7"/>
  <c r="Q31" i="7" s="1"/>
  <c r="R31" i="7" s="1"/>
  <c r="I35" i="9"/>
  <c r="M35" i="9" s="1"/>
  <c r="L35" i="9"/>
  <c r="P27" i="8"/>
  <c r="Q27" i="8" s="1"/>
  <c r="R27" i="8" s="1"/>
  <c r="P18" i="8"/>
  <c r="Q18" i="8" s="1"/>
  <c r="R18" i="8" s="1"/>
  <c r="L37" i="8"/>
  <c r="I37" i="8"/>
  <c r="M37" i="8" s="1"/>
  <c r="L25" i="7"/>
  <c r="I25" i="7"/>
  <c r="M25" i="7" s="1"/>
  <c r="I42" i="9"/>
  <c r="M42" i="9" s="1"/>
  <c r="L42" i="9"/>
  <c r="P25" i="9"/>
  <c r="Q25" i="9" s="1"/>
  <c r="R25" i="9" s="1"/>
  <c r="L21" i="7"/>
  <c r="I21" i="7"/>
  <c r="M21" i="7" s="1"/>
  <c r="I33" i="11"/>
  <c r="M33" i="11" s="1"/>
  <c r="L33" i="11"/>
  <c r="P16" i="11"/>
  <c r="Q16" i="11" s="1"/>
  <c r="R16" i="11" s="1"/>
  <c r="I17" i="11"/>
  <c r="M17" i="11" s="1"/>
  <c r="L17" i="11"/>
  <c r="I20" i="11"/>
  <c r="M20" i="11" s="1"/>
  <c r="L20" i="11"/>
  <c r="P32" i="9"/>
  <c r="Q32" i="9" s="1"/>
  <c r="R32" i="9" s="1"/>
  <c r="I37" i="7"/>
  <c r="M37" i="7" s="1"/>
  <c r="L37" i="7"/>
  <c r="O37" i="7" s="1"/>
  <c r="P26" i="7"/>
  <c r="Q26" i="7" s="1"/>
  <c r="R26" i="7" s="1"/>
  <c r="P16" i="8"/>
  <c r="Q16" i="8" s="1"/>
  <c r="R16" i="8" s="1"/>
  <c r="I32" i="8"/>
  <c r="M32" i="8" s="1"/>
  <c r="L32" i="8"/>
  <c r="O32" i="8" s="1"/>
  <c r="I41" i="8"/>
  <c r="M41" i="8" s="1"/>
  <c r="L41" i="8"/>
  <c r="P29" i="7"/>
  <c r="Q29" i="7" s="1"/>
  <c r="R29" i="7" s="1"/>
  <c r="I41" i="9"/>
  <c r="M41" i="9" s="1"/>
  <c r="L41" i="9"/>
  <c r="I42" i="8"/>
  <c r="M42" i="8" s="1"/>
  <c r="L42" i="8"/>
  <c r="I26" i="10"/>
  <c r="M26" i="10" s="1"/>
  <c r="L26" i="10"/>
  <c r="P19" i="10"/>
  <c r="Q19" i="10" s="1"/>
  <c r="R19" i="10" s="1"/>
  <c r="I27" i="9"/>
  <c r="M27" i="9" s="1"/>
  <c r="L27" i="9"/>
  <c r="O27" i="10"/>
  <c r="L23" i="10"/>
  <c r="I23" i="10"/>
  <c r="M23" i="10" s="1"/>
  <c r="P28" i="10"/>
  <c r="Q28" i="10" s="1"/>
  <c r="R28" i="10" s="1"/>
  <c r="O16" i="9"/>
  <c r="O37" i="10"/>
  <c r="I43" i="8"/>
  <c r="M43" i="8" s="1"/>
  <c r="L43" i="8"/>
  <c r="O28" i="9"/>
  <c r="I40" i="9"/>
  <c r="M40" i="9" s="1"/>
  <c r="L40" i="9"/>
  <c r="I39" i="8"/>
  <c r="M39" i="8" s="1"/>
  <c r="L39" i="8"/>
  <c r="L22" i="8"/>
  <c r="I22" i="8"/>
  <c r="M22" i="8" s="1"/>
  <c r="P16" i="7"/>
  <c r="Q16" i="7" s="1"/>
  <c r="R16" i="7" s="1"/>
  <c r="O20" i="8"/>
  <c r="L29" i="8"/>
  <c r="I29" i="8"/>
  <c r="M29" i="8" s="1"/>
  <c r="P33" i="7"/>
  <c r="Q33" i="7"/>
  <c r="R33" i="7" s="1"/>
  <c r="L30" i="9"/>
  <c r="I30" i="9"/>
  <c r="M30" i="9" s="1"/>
  <c r="L21" i="11"/>
  <c r="I21" i="11"/>
  <c r="M21" i="11" s="1"/>
  <c r="P29" i="9"/>
  <c r="Q29" i="9" s="1"/>
  <c r="R29" i="9" s="1"/>
  <c r="O33" i="10"/>
  <c r="L27" i="11"/>
  <c r="I27" i="11"/>
  <c r="M27" i="11" s="1"/>
  <c r="I17" i="9"/>
  <c r="M17" i="9" s="1"/>
  <c r="L17" i="9"/>
  <c r="I20" i="10"/>
  <c r="M20" i="10" s="1"/>
  <c r="L20" i="10"/>
  <c r="O24" i="10"/>
  <c r="I36" i="9"/>
  <c r="M36" i="9" s="1"/>
  <c r="L36" i="9"/>
  <c r="P44" i="8"/>
  <c r="Q44" i="8" s="1"/>
  <c r="R44" i="8" s="1"/>
  <c r="I34" i="7"/>
  <c r="M34" i="7" s="1"/>
  <c r="L34" i="7"/>
  <c r="O34" i="7" s="1"/>
  <c r="P32" i="7"/>
  <c r="Q32" i="7" s="1"/>
  <c r="R32" i="7" s="1"/>
  <c r="O30" i="7"/>
  <c r="D8" i="6"/>
  <c r="F30" i="5"/>
  <c r="F19" i="5"/>
  <c r="F17" i="5"/>
  <c r="G15" i="5"/>
  <c r="F14" i="5"/>
  <c r="F32" i="5" s="1"/>
  <c r="D30" i="5"/>
  <c r="D19" i="5"/>
  <c r="D17" i="5"/>
  <c r="E15" i="5"/>
  <c r="D14" i="5"/>
  <c r="D32" i="5" s="1"/>
  <c r="B30" i="5"/>
  <c r="B19" i="5"/>
  <c r="B17" i="5"/>
  <c r="C15" i="5"/>
  <c r="B14" i="5"/>
  <c r="B32" i="5" s="1"/>
  <c r="C16" i="5"/>
  <c r="G16" i="5"/>
  <c r="E16" i="5"/>
  <c r="O36" i="9" l="1"/>
  <c r="O26" i="8"/>
  <c r="O41" i="9"/>
  <c r="O23" i="11"/>
  <c r="P23" i="11" s="1"/>
  <c r="Q23" i="11" s="1"/>
  <c r="R23" i="11" s="1"/>
  <c r="Q18" i="10"/>
  <c r="R18" i="10" s="1"/>
  <c r="O18" i="11"/>
  <c r="P18" i="11" s="1"/>
  <c r="Q18" i="11" s="1"/>
  <c r="R18" i="11" s="1"/>
  <c r="O35" i="11"/>
  <c r="O37" i="8"/>
  <c r="O30" i="11"/>
  <c r="Q19" i="11"/>
  <c r="R19" i="11" s="1"/>
  <c r="O17" i="10"/>
  <c r="P17" i="10" s="1"/>
  <c r="O38" i="9"/>
  <c r="P38" i="9" s="1"/>
  <c r="O29" i="11"/>
  <c r="P29" i="11" s="1"/>
  <c r="Q29" i="11" s="1"/>
  <c r="R29" i="11" s="1"/>
  <c r="O29" i="10"/>
  <c r="P29" i="10" s="1"/>
  <c r="Q29" i="10" s="1"/>
  <c r="R29" i="10" s="1"/>
  <c r="O43" i="8"/>
  <c r="O17" i="11"/>
  <c r="P17" i="11" s="1"/>
  <c r="Q17" i="11" s="1"/>
  <c r="R17" i="11" s="1"/>
  <c r="O26" i="9"/>
  <c r="O30" i="8"/>
  <c r="P30" i="8" s="1"/>
  <c r="O24" i="11"/>
  <c r="P24" i="11" s="1"/>
  <c r="Q24" i="11" s="1"/>
  <c r="R24" i="11" s="1"/>
  <c r="P37" i="10"/>
  <c r="Q37" i="10" s="1"/>
  <c r="R37" i="10" s="1"/>
  <c r="P27" i="10"/>
  <c r="Q27" i="10" s="1"/>
  <c r="R27" i="10" s="1"/>
  <c r="P22" i="10"/>
  <c r="Q22" i="10" s="1"/>
  <c r="R22" i="10" s="1"/>
  <c r="P31" i="10"/>
  <c r="Q31" i="10" s="1"/>
  <c r="R31" i="10" s="1"/>
  <c r="P19" i="8"/>
  <c r="Q19" i="8" s="1"/>
  <c r="R19" i="8" s="1"/>
  <c r="P32" i="10"/>
  <c r="Q32" i="10" s="1"/>
  <c r="R32" i="10" s="1"/>
  <c r="P35" i="11"/>
  <c r="Q35" i="11" s="1"/>
  <c r="R35" i="11" s="1"/>
  <c r="P36" i="10"/>
  <c r="Q36" i="10" s="1"/>
  <c r="R36" i="10" s="1"/>
  <c r="P30" i="7"/>
  <c r="Q30" i="7" s="1"/>
  <c r="R30" i="7" s="1"/>
  <c r="O17" i="9"/>
  <c r="O30" i="9"/>
  <c r="O40" i="9"/>
  <c r="P16" i="9"/>
  <c r="Q16" i="9" s="1"/>
  <c r="R16" i="9" s="1"/>
  <c r="O27" i="9"/>
  <c r="O42" i="8"/>
  <c r="O41" i="8"/>
  <c r="O20" i="11"/>
  <c r="O33" i="11"/>
  <c r="O42" i="9"/>
  <c r="P38" i="8"/>
  <c r="Q38" i="8" s="1"/>
  <c r="R38" i="8" s="1"/>
  <c r="O45" i="8"/>
  <c r="O18" i="7"/>
  <c r="O21" i="9"/>
  <c r="O18" i="9"/>
  <c r="O35" i="10"/>
  <c r="P30" i="10"/>
  <c r="Q30" i="10" s="1"/>
  <c r="R30" i="10" s="1"/>
  <c r="P41" i="9"/>
  <c r="Q41" i="9" s="1"/>
  <c r="R41" i="9" s="1"/>
  <c r="P32" i="8"/>
  <c r="Q32" i="8" s="1"/>
  <c r="R32" i="8" s="1"/>
  <c r="P37" i="7"/>
  <c r="Q37" i="7" s="1"/>
  <c r="R37" i="7" s="1"/>
  <c r="P33" i="9"/>
  <c r="Q33" i="9" s="1"/>
  <c r="R33" i="9" s="1"/>
  <c r="P26" i="8"/>
  <c r="Q26" i="8" s="1"/>
  <c r="R26" i="8" s="1"/>
  <c r="P31" i="9"/>
  <c r="Q31" i="9" s="1"/>
  <c r="R31" i="9" s="1"/>
  <c r="P25" i="10"/>
  <c r="Q25" i="10" s="1"/>
  <c r="R25" i="10" s="1"/>
  <c r="P24" i="9"/>
  <c r="Q24" i="9" s="1"/>
  <c r="R24" i="9" s="1"/>
  <c r="O21" i="8"/>
  <c r="P19" i="9"/>
  <c r="Q19" i="9" s="1"/>
  <c r="R19" i="9" s="1"/>
  <c r="P23" i="8"/>
  <c r="Q23" i="8" s="1"/>
  <c r="R23" i="8" s="1"/>
  <c r="P30" i="11"/>
  <c r="Q30" i="11" s="1"/>
  <c r="R30" i="11" s="1"/>
  <c r="P34" i="7"/>
  <c r="Q34" i="7"/>
  <c r="R34" i="7" s="1"/>
  <c r="P24" i="10"/>
  <c r="Q24" i="10" s="1"/>
  <c r="R24" i="10" s="1"/>
  <c r="O27" i="11"/>
  <c r="O22" i="8"/>
  <c r="P43" i="8"/>
  <c r="Q43" i="8" s="1"/>
  <c r="R43" i="8" s="1"/>
  <c r="O21" i="7"/>
  <c r="O25" i="7"/>
  <c r="P24" i="7"/>
  <c r="Q24" i="7" s="1"/>
  <c r="R24" i="7" s="1"/>
  <c r="P37" i="9"/>
  <c r="Q37" i="9" s="1"/>
  <c r="R37" i="9" s="1"/>
  <c r="P23" i="9"/>
  <c r="Q23" i="9" s="1"/>
  <c r="R23" i="9" s="1"/>
  <c r="P28" i="9"/>
  <c r="Q28" i="9" s="1"/>
  <c r="R28" i="9" s="1"/>
  <c r="O20" i="10"/>
  <c r="P33" i="10"/>
  <c r="Q33" i="10" s="1"/>
  <c r="R33" i="10" s="1"/>
  <c r="O21" i="11"/>
  <c r="O29" i="8"/>
  <c r="O39" i="8"/>
  <c r="O23" i="10"/>
  <c r="O26" i="10"/>
  <c r="O35" i="9"/>
  <c r="O20" i="9"/>
  <c r="O38" i="10"/>
  <c r="P34" i="10"/>
  <c r="Q34" i="10"/>
  <c r="R34" i="10" s="1"/>
  <c r="P36" i="9"/>
  <c r="Q36" i="9" s="1"/>
  <c r="R36" i="9" s="1"/>
  <c r="P20" i="8"/>
  <c r="Q20" i="8" s="1"/>
  <c r="R20" i="8" s="1"/>
  <c r="E17" i="5"/>
  <c r="E18" i="5" s="1"/>
  <c r="G17" i="5"/>
  <c r="G18" i="5" s="1"/>
  <c r="C17" i="5"/>
  <c r="C18" i="5" s="1"/>
  <c r="B26" i="5"/>
  <c r="D26" i="5"/>
  <c r="F26" i="5"/>
  <c r="P37" i="8" l="1"/>
  <c r="Q37" i="8" s="1"/>
  <c r="R37" i="8" s="1"/>
  <c r="Q38" i="9"/>
  <c r="R38" i="9" s="1"/>
  <c r="P26" i="9"/>
  <c r="Q26" i="9" s="1"/>
  <c r="R26" i="9" s="1"/>
  <c r="Q30" i="8"/>
  <c r="R30" i="8" s="1"/>
  <c r="Q17" i="10"/>
  <c r="R17" i="10" s="1"/>
  <c r="P26" i="10"/>
  <c r="Q26" i="10" s="1"/>
  <c r="R26" i="10" s="1"/>
  <c r="P21" i="7"/>
  <c r="Q21" i="7" s="1"/>
  <c r="R21" i="7" s="1"/>
  <c r="P35" i="10"/>
  <c r="Q35" i="10"/>
  <c r="R35" i="10" s="1"/>
  <c r="P20" i="9"/>
  <c r="Q20" i="9" s="1"/>
  <c r="R20" i="9" s="1"/>
  <c r="P21" i="11"/>
  <c r="Q21" i="11" s="1"/>
  <c r="R21" i="11" s="1"/>
  <c r="P27" i="11"/>
  <c r="Q27" i="11" s="1"/>
  <c r="R27" i="11" s="1"/>
  <c r="P45" i="8"/>
  <c r="Q45" i="8" s="1"/>
  <c r="R45" i="8" s="1"/>
  <c r="P41" i="8"/>
  <c r="Q41" i="8" s="1"/>
  <c r="R41" i="8" s="1"/>
  <c r="P30" i="9"/>
  <c r="Q30" i="9" s="1"/>
  <c r="R30" i="9" s="1"/>
  <c r="P35" i="9"/>
  <c r="Q35" i="9" s="1"/>
  <c r="R35" i="9" s="1"/>
  <c r="P25" i="7"/>
  <c r="Q25" i="7" s="1"/>
  <c r="R25" i="7" s="1"/>
  <c r="P42" i="8"/>
  <c r="Q42" i="8" s="1"/>
  <c r="R42" i="8" s="1"/>
  <c r="P17" i="9"/>
  <c r="Q17" i="9" s="1"/>
  <c r="R17" i="9" s="1"/>
  <c r="P23" i="10"/>
  <c r="Q23" i="10"/>
  <c r="R23" i="10" s="1"/>
  <c r="P21" i="8"/>
  <c r="Q21" i="8" s="1"/>
  <c r="R21" i="8" s="1"/>
  <c r="P42" i="9"/>
  <c r="Q42" i="9" s="1"/>
  <c r="R42" i="9" s="1"/>
  <c r="P21" i="9"/>
  <c r="Q21" i="9" s="1"/>
  <c r="R21" i="9" s="1"/>
  <c r="P33" i="11"/>
  <c r="Q33" i="11" s="1"/>
  <c r="R33" i="11" s="1"/>
  <c r="P27" i="9"/>
  <c r="Q27" i="9" s="1"/>
  <c r="R27" i="9" s="1"/>
  <c r="P20" i="10"/>
  <c r="Q20" i="10" s="1"/>
  <c r="R20" i="10" s="1"/>
  <c r="P18" i="9"/>
  <c r="Q18" i="9" s="1"/>
  <c r="R18" i="9" s="1"/>
  <c r="P39" i="8"/>
  <c r="Q39" i="8" s="1"/>
  <c r="R39" i="8" s="1"/>
  <c r="P38" i="10"/>
  <c r="Q38" i="10" s="1"/>
  <c r="R38" i="10" s="1"/>
  <c r="P29" i="8"/>
  <c r="Q29" i="8" s="1"/>
  <c r="R29" i="8" s="1"/>
  <c r="P22" i="8"/>
  <c r="Q22" i="8" s="1"/>
  <c r="R22" i="8" s="1"/>
  <c r="P18" i="7"/>
  <c r="Q18" i="7" s="1"/>
  <c r="R18" i="7" s="1"/>
  <c r="P20" i="11"/>
  <c r="Q20" i="11" s="1"/>
  <c r="R20" i="11" s="1"/>
  <c r="P40" i="9"/>
  <c r="Q40" i="9" s="1"/>
  <c r="R40" i="9" s="1"/>
  <c r="C19" i="5"/>
  <c r="C20" i="5" s="1"/>
  <c r="G19" i="5"/>
  <c r="G20" i="5" s="1"/>
  <c r="E19" i="5"/>
  <c r="E20" i="5" s="1"/>
  <c r="R40" i="10" l="1"/>
  <c r="B8" i="12" s="1"/>
  <c r="R37" i="11"/>
  <c r="B9" i="12" s="1"/>
  <c r="R44" i="9"/>
  <c r="B7" i="12" s="1"/>
  <c r="R47" i="8"/>
  <c r="B6" i="12" s="1"/>
  <c r="R39" i="7"/>
  <c r="B5" i="12" s="1"/>
  <c r="D156" i="3"/>
  <c r="D152" i="3"/>
  <c r="C146" i="3"/>
  <c r="F21" i="5" s="1"/>
  <c r="G21" i="5" s="1"/>
  <c r="G22" i="5" s="1"/>
  <c r="C139" i="3"/>
  <c r="D131" i="3"/>
  <c r="C103" i="3"/>
  <c r="D89" i="3"/>
  <c r="C89" i="3"/>
  <c r="C87" i="3"/>
  <c r="D87" i="3" s="1"/>
  <c r="D88" i="3" s="1"/>
  <c r="D86" i="3"/>
  <c r="C86" i="3"/>
  <c r="C84" i="3"/>
  <c r="D65" i="3"/>
  <c r="D69" i="3" s="1"/>
  <c r="D77" i="3" s="1"/>
  <c r="C59" i="3"/>
  <c r="C88" i="3" s="1"/>
  <c r="C44" i="3"/>
  <c r="C45" i="3" s="1"/>
  <c r="D43" i="3"/>
  <c r="C43" i="3"/>
  <c r="D35" i="3"/>
  <c r="C146" i="2"/>
  <c r="D21" i="5" s="1"/>
  <c r="E21" i="5" s="1"/>
  <c r="E22" i="5" s="1"/>
  <c r="C139" i="2"/>
  <c r="D131" i="2"/>
  <c r="D156" i="2" s="1"/>
  <c r="C103" i="2"/>
  <c r="D89" i="2"/>
  <c r="C89" i="2"/>
  <c r="C87" i="2"/>
  <c r="D87" i="2" s="1"/>
  <c r="D88" i="2" s="1"/>
  <c r="D86" i="2"/>
  <c r="C86" i="2"/>
  <c r="C84" i="2"/>
  <c r="D65" i="2"/>
  <c r="D69" i="2" s="1"/>
  <c r="D77" i="2" s="1"/>
  <c r="C59" i="2"/>
  <c r="C88" i="2" s="1"/>
  <c r="C45" i="2"/>
  <c r="D44" i="2"/>
  <c r="C44" i="2"/>
  <c r="C43" i="2"/>
  <c r="D43" i="2" s="1"/>
  <c r="D45" i="2" s="1"/>
  <c r="D35" i="2"/>
  <c r="B10" i="12" l="1"/>
  <c r="E23" i="5"/>
  <c r="E27" i="5" s="1"/>
  <c r="E24" i="5"/>
  <c r="E28" i="5" s="1"/>
  <c r="G23" i="5"/>
  <c r="G27" i="5" s="1"/>
  <c r="G24" i="5"/>
  <c r="G28" i="5" s="1"/>
  <c r="D44" i="3"/>
  <c r="D45" i="3" s="1"/>
  <c r="D84" i="3"/>
  <c r="D53" i="2"/>
  <c r="D54" i="2"/>
  <c r="D58" i="2"/>
  <c r="D52" i="2"/>
  <c r="D57" i="2"/>
  <c r="D55" i="2"/>
  <c r="D75" i="2"/>
  <c r="D51" i="2"/>
  <c r="D152" i="2"/>
  <c r="D56" i="2"/>
  <c r="D84" i="2"/>
  <c r="D131" i="1"/>
  <c r="B11" i="12" l="1"/>
  <c r="E11" i="6" s="1"/>
  <c r="G11" i="6" s="1"/>
  <c r="G29" i="5"/>
  <c r="G30" i="5" s="1"/>
  <c r="G33" i="5" s="1"/>
  <c r="G16" i="6" s="1"/>
  <c r="E29" i="5"/>
  <c r="E30" i="5" s="1"/>
  <c r="E33" i="5" s="1"/>
  <c r="G15" i="6" s="1"/>
  <c r="D58" i="3"/>
  <c r="D52" i="3"/>
  <c r="D53" i="3"/>
  <c r="D75" i="3"/>
  <c r="D55" i="3"/>
  <c r="D54" i="3"/>
  <c r="D57" i="3"/>
  <c r="D51" i="3"/>
  <c r="D56" i="3"/>
  <c r="D90" i="3"/>
  <c r="D154" i="3" s="1"/>
  <c r="D85" i="3"/>
  <c r="D59" i="2"/>
  <c r="D76" i="2" s="1"/>
  <c r="D78" i="2" s="1"/>
  <c r="D90" i="2"/>
  <c r="D154" i="2" s="1"/>
  <c r="D85" i="2"/>
  <c r="D111" i="1"/>
  <c r="D65" i="1"/>
  <c r="D59" i="3" l="1"/>
  <c r="D76" i="3" s="1"/>
  <c r="D78" i="3" s="1"/>
  <c r="D153" i="2"/>
  <c r="D101" i="2"/>
  <c r="D100" i="2"/>
  <c r="D103" i="2"/>
  <c r="D99" i="2"/>
  <c r="D111" i="2"/>
  <c r="D112" i="2" s="1"/>
  <c r="D119" i="2" s="1"/>
  <c r="D104" i="2"/>
  <c r="D102" i="2"/>
  <c r="C89" i="1"/>
  <c r="C86" i="1"/>
  <c r="D103" i="3" l="1"/>
  <c r="D100" i="3"/>
  <c r="D153" i="3"/>
  <c r="D111" i="3"/>
  <c r="D112" i="3" s="1"/>
  <c r="D119" i="3" s="1"/>
  <c r="D101" i="3"/>
  <c r="D104" i="3"/>
  <c r="D99" i="3"/>
  <c r="D102" i="3"/>
  <c r="D105" i="2"/>
  <c r="D118" i="2" s="1"/>
  <c r="D120" i="2" s="1"/>
  <c r="D155" i="2" s="1"/>
  <c r="D157" i="2" s="1"/>
  <c r="C139" i="1"/>
  <c r="C146" i="1"/>
  <c r="B21" i="5" s="1"/>
  <c r="C21" i="5" s="1"/>
  <c r="C22" i="5" s="1"/>
  <c r="C103" i="1"/>
  <c r="C88" i="1"/>
  <c r="C87" i="1"/>
  <c r="C84" i="1"/>
  <c r="C45" i="1"/>
  <c r="C44" i="1"/>
  <c r="C43" i="1"/>
  <c r="C24" i="5" l="1"/>
  <c r="C28" i="5" s="1"/>
  <c r="C23" i="5"/>
  <c r="C27" i="5" s="1"/>
  <c r="D105" i="3"/>
  <c r="D118" i="3" s="1"/>
  <c r="D120" i="3" s="1"/>
  <c r="D155" i="3" s="1"/>
  <c r="D157" i="3" s="1"/>
  <c r="D137" i="2"/>
  <c r="D138" i="2" s="1"/>
  <c r="D156" i="1"/>
  <c r="D69" i="1"/>
  <c r="D77" i="1" s="1"/>
  <c r="C59" i="1"/>
  <c r="D35" i="1"/>
  <c r="C29" i="5" l="1"/>
  <c r="C30" i="5" s="1"/>
  <c r="C33" i="5" s="1"/>
  <c r="G14" i="6" s="1"/>
  <c r="G17" i="6" s="1"/>
  <c r="D137" i="3"/>
  <c r="D139" i="2"/>
  <c r="D146" i="2" s="1"/>
  <c r="D158" i="2" s="1"/>
  <c r="D159" i="2" s="1"/>
  <c r="C6" i="6" s="1"/>
  <c r="E6" i="6" s="1"/>
  <c r="F6" i="6" s="1"/>
  <c r="G6" i="6" s="1"/>
  <c r="D84" i="1"/>
  <c r="D85" i="1" s="1"/>
  <c r="D87" i="1"/>
  <c r="D88" i="1" s="1"/>
  <c r="D86" i="1"/>
  <c r="D152" i="1"/>
  <c r="D44" i="1"/>
  <c r="D89" i="1"/>
  <c r="D43" i="1"/>
  <c r="D138" i="3" l="1"/>
  <c r="D139" i="3" s="1"/>
  <c r="D143" i="2"/>
  <c r="D142" i="2"/>
  <c r="D141" i="2"/>
  <c r="D140" i="2"/>
  <c r="D145" i="2"/>
  <c r="D144" i="2"/>
  <c r="D45" i="1"/>
  <c r="D90" i="1"/>
  <c r="D146" i="3" l="1"/>
  <c r="D158" i="3" s="1"/>
  <c r="D159" i="3" s="1"/>
  <c r="C7" i="6" s="1"/>
  <c r="E7" i="6" s="1"/>
  <c r="F7" i="6" s="1"/>
  <c r="G7" i="6" s="1"/>
  <c r="D75" i="1"/>
  <c r="D55" i="1"/>
  <c r="D58" i="1"/>
  <c r="D53" i="1"/>
  <c r="D56" i="1"/>
  <c r="D51" i="1"/>
  <c r="D57" i="1"/>
  <c r="D54" i="1"/>
  <c r="D52" i="1"/>
  <c r="D154" i="1"/>
  <c r="D145" i="3" l="1"/>
  <c r="D144" i="3"/>
  <c r="D143" i="3"/>
  <c r="D142" i="3"/>
  <c r="D141" i="3"/>
  <c r="D140" i="3"/>
  <c r="D59" i="1"/>
  <c r="D76" i="1" s="1"/>
  <c r="D78" i="1" s="1"/>
  <c r="D102" i="1" s="1"/>
  <c r="D103" i="1" l="1"/>
  <c r="D100" i="1"/>
  <c r="D104" i="1"/>
  <c r="D112" i="1"/>
  <c r="D119" i="1" s="1"/>
  <c r="D99" i="1"/>
  <c r="D153" i="1"/>
  <c r="D101" i="1"/>
  <c r="D105" i="1" l="1"/>
  <c r="D118" i="1" s="1"/>
  <c r="D120" i="1" s="1"/>
  <c r="D155" i="1" s="1"/>
  <c r="D157" i="1" s="1"/>
  <c r="D137" i="1" s="1"/>
  <c r="D138" i="1" s="1"/>
  <c r="D139" i="1" s="1"/>
  <c r="D146" i="1" l="1"/>
  <c r="D158" i="1" s="1"/>
  <c r="D159" i="1" l="1"/>
  <c r="C5" i="6" s="1"/>
  <c r="E5" i="6" s="1"/>
  <c r="D143" i="1" l="1"/>
  <c r="D140" i="1"/>
  <c r="D142" i="1"/>
  <c r="D141" i="1"/>
  <c r="E8" i="6"/>
  <c r="F5" i="6"/>
  <c r="D144" i="1"/>
  <c r="D145" i="1"/>
  <c r="F8" i="6" l="1"/>
  <c r="G5" i="6"/>
  <c r="G8" i="6" s="1"/>
  <c r="E22" i="6" s="1"/>
</calcChain>
</file>

<file path=xl/sharedStrings.xml><?xml version="1.0" encoding="utf-8"?>
<sst xmlns="http://schemas.openxmlformats.org/spreadsheetml/2006/main" count="904" uniqueCount="227">
  <si>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</si>
  <si>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</si>
  <si>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</si>
  <si>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</si>
  <si>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</si>
  <si>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</si>
  <si>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</si>
  <si>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</si>
  <si>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</si>
  <si>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</si>
  <si>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</si>
  <si>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</si>
  <si>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</si>
  <si>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</si>
  <si>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</si>
  <si>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</si>
  <si>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</si>
  <si>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</si>
  <si>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</si>
  <si>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</si>
  <si>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</si>
  <si>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</si>
  <si>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</si>
  <si>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</si>
  <si>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</si>
  <si>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</si>
  <si>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</si>
  <si>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</si>
  <si>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</si>
  <si>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</si>
  <si>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</si>
  <si>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</si>
  <si>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</si>
  <si>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</si>
  <si>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</si>
  <si>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</si>
  <si>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</si>
  <si>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</si>
  <si>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</si>
  <si>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</si>
  <si>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</si>
  <si>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</si>
  <si>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</si>
  <si>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Benefício xxx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</si>
  <si>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</si>
  <si>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</si>
  <si>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</si>
  <si>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</si>
  <si>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</si>
  <si>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</si>
  <si>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</si>
  <si>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</si>
  <si>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</si>
  <si>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</si>
  <si>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</si>
  <si>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</si>
  <si>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</si>
  <si>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</si>
  <si>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</si>
  <si>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</si>
  <si>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</si>
  <si>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</si>
  <si>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</si>
  <si>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</si>
  <si>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</si>
  <si>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</si>
  <si>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</si>
  <si>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</si>
  <si>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</si>
  <si>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</si>
  <si>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</si>
  <si>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</si>
  <si>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</si>
  <si>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</si>
  <si>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</si>
  <si>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</si>
  <si>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</si>
  <si>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</si>
  <si>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</si>
  <si>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</si>
  <si>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</si>
  <si>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</si>
  <si>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</si>
  <si>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</si>
  <si>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</si>
  <si>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</si>
  <si>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</si>
  <si>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</si>
  <si>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</si>
  <si>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</si>
  <si>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</si>
  <si>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</si>
  <si>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</si>
  <si>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</si>
  <si>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</si>
  <si>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</si>
  <si>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</si>
  <si>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</si>
  <si>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Multa do FGTS sobre o Aviso Prévio Indenizado</t>
  </si>
  <si>
    <t>Multa do FGTS sobre o Aviso Prévio Trabalhado</t>
  </si>
  <si>
    <t xml:space="preserve"> XXXX/XXXX (ANO)</t>
  </si>
  <si>
    <t>Convenção Coletiva de Trabalho</t>
  </si>
  <si>
    <t xml:space="preserve">Número de Registro no MTE </t>
  </si>
  <si>
    <t>Data do Registro</t>
  </si>
  <si>
    <t>(sindicato patronal)</t>
  </si>
  <si>
    <t>(sindicato de empregados)</t>
  </si>
  <si>
    <t>Sindicato XXXXX</t>
  </si>
  <si>
    <t>Informação sobre estimativa da Administração</t>
  </si>
  <si>
    <r>
      <t xml:space="preserve">Informa-se que foi utilizada a seguinte Convenção Coletiva de Trabalho no cálculo do valor pela Administração, a qual </t>
    </r>
    <r>
      <rPr>
        <b/>
        <u/>
        <sz val="10"/>
        <color theme="1"/>
        <rFont val="Times New Roman"/>
        <family val="1"/>
      </rPr>
      <t>não</t>
    </r>
    <r>
      <rPr>
        <b/>
        <sz val="10"/>
        <color theme="1"/>
        <rFont val="Times New Roman"/>
        <family val="1"/>
      </rPr>
      <t xml:space="preserve"> será de uso obrigatório pelas licitantes:</t>
    </r>
  </si>
  <si>
    <t>QUADRO-RESUMO DO CUSTO POR EMPREGADO</t>
  </si>
  <si>
    <t>posto de serviço</t>
  </si>
  <si>
    <t>Arquiteto ou Engenheiro civil</t>
  </si>
  <si>
    <t>2141-05</t>
  </si>
  <si>
    <t>EPIs</t>
  </si>
  <si>
    <t>Softwares</t>
  </si>
  <si>
    <t>Engenheiro Mecânico 40 horas semanais</t>
  </si>
  <si>
    <t>Engenheiro Mecânico</t>
  </si>
  <si>
    <t>2144-05</t>
  </si>
  <si>
    <t>Engenheiro Eletricista 40 horas semanais</t>
  </si>
  <si>
    <t>Engenheiro Eletricista</t>
  </si>
  <si>
    <t>2143-05</t>
  </si>
  <si>
    <t>vhe = [ rem × (1+13fa) × (1+es) × (1+i) × (1+ci) × (1+ℓ) ÷ d ] / (1-t)</t>
  </si>
  <si>
    <t>Onde:</t>
  </si>
  <si>
    <t>vhe = valor da hora extra</t>
  </si>
  <si>
    <t>rem = remuneração</t>
  </si>
  <si>
    <t>d = divisor, de acordo com a jornada mensal prevista na CCT ou, na sua falta, na legislação trabalhista</t>
  </si>
  <si>
    <t>13fa = incidência sobre 13º salário, férias e adicional</t>
  </si>
  <si>
    <t>es = encargos sociais relativos ao módulo 2.2 da planilha de custos e formação de preços</t>
  </si>
  <si>
    <t>i = índice referente ao acréscimo legal sobre a hora normal, previsto na respectiva Convenção Coletiva de Trabalho - CCT ou, na sua falta, na legislação trabalhista</t>
  </si>
  <si>
    <t>ci = custos indiretos</t>
  </si>
  <si>
    <t>ℓ = lucro</t>
  </si>
  <si>
    <t>t = tributos incidentes sobre o faturamento</t>
  </si>
  <si>
    <t>Valores Referenciais</t>
  </si>
  <si>
    <t>posto</t>
  </si>
  <si>
    <t>rem</t>
  </si>
  <si>
    <t>rem/hora</t>
  </si>
  <si>
    <t>13fa</t>
  </si>
  <si>
    <t>subtotal 1</t>
  </si>
  <si>
    <t>es</t>
  </si>
  <si>
    <t>subtotal 2</t>
  </si>
  <si>
    <t>ci, ℓ, t</t>
  </si>
  <si>
    <t>custo hora normal</t>
  </si>
  <si>
    <t>he dom-fer</t>
  </si>
  <si>
    <t>domingos e feriados</t>
  </si>
  <si>
    <t>total horas extras</t>
  </si>
  <si>
    <t>valor unitário</t>
  </si>
  <si>
    <t>Resumo</t>
  </si>
  <si>
    <t>he</t>
  </si>
  <si>
    <t>Horas Extras - tópico 3.3 do Termo de Referência</t>
  </si>
  <si>
    <t>horas extras p/posto</t>
  </si>
  <si>
    <t>dias úteis e sábados</t>
  </si>
  <si>
    <t>he seg-sáb.</t>
  </si>
  <si>
    <t>Quantidade de horas mensais</t>
  </si>
  <si>
    <t>total - 24 meses</t>
  </si>
  <si>
    <t>quadro resumo - valor total estimado</t>
  </si>
  <si>
    <t>item</t>
  </si>
  <si>
    <t>especificação</t>
  </si>
  <si>
    <t>valor mensal unitário</t>
  </si>
  <si>
    <t>quantidade</t>
  </si>
  <si>
    <t>valor mensal</t>
  </si>
  <si>
    <t>valor anual</t>
  </si>
  <si>
    <t>valor total
(24 meses)</t>
  </si>
  <si>
    <t>totais</t>
  </si>
  <si>
    <t>deslocamentos</t>
  </si>
  <si>
    <t>horas extras</t>
  </si>
  <si>
    <t>postos</t>
  </si>
  <si>
    <t>ARTs/RRTs</t>
  </si>
  <si>
    <t>total estimado da contratação</t>
  </si>
  <si>
    <t>MÉDIA:</t>
  </si>
  <si>
    <t>R$</t>
  </si>
  <si>
    <t>unid</t>
  </si>
  <si>
    <t>n</t>
  </si>
  <si>
    <t>h</t>
  </si>
  <si>
    <t>litros (l)</t>
  </si>
  <si>
    <t>km</t>
  </si>
  <si>
    <t>VALOR DESLOCAMENTO/ DIA</t>
  </si>
  <si>
    <t>VALOR TOTAL COM BDI</t>
  </si>
  <si>
    <t>BDI</t>
  </si>
  <si>
    <t>VALOR TOTAL VIAGEM (VEÍCULO + COMBUSTÍVEL+DIÁRIAS)</t>
  </si>
  <si>
    <t>VALOR MOTORISTA</t>
  </si>
  <si>
    <r>
      <t xml:space="preserve">VALOR DE DIÁRIAS </t>
    </r>
    <r>
      <rPr>
        <b/>
        <sz val="8"/>
        <color rgb="FF000000"/>
        <rFont val="Arial"/>
        <family val="2"/>
      </rPr>
      <t>PARA 02 PROFISSIONAIS</t>
    </r>
  </si>
  <si>
    <t>VALOR DE ALUGUEL DE VEÍCULO</t>
  </si>
  <si>
    <t>VALOR GASTO COM COMBUSTÍVEL</t>
  </si>
  <si>
    <t>QUANTIDADE DE PROFISSIONAIS (essa quantidade será definida pela fiscalização no ato da emissão do chamado) + MOTORISTA</t>
  </si>
  <si>
    <t>NÚMERO DE DIÁRIAS DO PROFISSIONAL</t>
  </si>
  <si>
    <t>NÚMERO DE DIÁRIAS DE LOCAÇÃO DO VEÍCULO</t>
  </si>
  <si>
    <t>CALCULO APROXIMADO DO NÚMERO DE DIÁRIAS DE LOCAÇÃO DO VEÍCULO</t>
  </si>
  <si>
    <t>TOTAL DE HORAS ESTIMADAS PARA A VIAGEM</t>
  </si>
  <si>
    <t>MÉDIA DE TEMPO GASTO COM 01 VISITA TÉCNICA(h)</t>
  </si>
  <si>
    <r>
      <t xml:space="preserve">ESTIMATIVA DE TEMPO GASTO COM DESLOCAMENTO - </t>
    </r>
    <r>
      <rPr>
        <u/>
        <sz val="8"/>
        <rFont val="Arial"/>
        <family val="2"/>
        <charset val="1"/>
      </rPr>
      <t>65/Km/h</t>
    </r>
  </si>
  <si>
    <t>CONSUMO DE COMBUSTÍVEL (10 km/ litro)</t>
  </si>
  <si>
    <t>MÉDIA DISTÂNCIA PERCORRIDA DENTRO DO MUNICÍPIO(km)</t>
  </si>
  <si>
    <t xml:space="preserve">DISTÂNCIA TOTAL PERCORRIDA (IDA E VOLTA) ATÉ (Km) _ </t>
  </si>
  <si>
    <t>Valor da diária (pernoite+alimentação)</t>
  </si>
  <si>
    <t>Consumo de combustível (Km/litro)</t>
  </si>
  <si>
    <t>Valor do litro da gasolina em R$</t>
  </si>
  <si>
    <t>20Km</t>
  </si>
  <si>
    <t xml:space="preserve">Distância percorrida dentro do município </t>
  </si>
  <si>
    <t>Valor da diária de locação de veículo em R$</t>
  </si>
  <si>
    <t>Média de horas para vistoria por imóvel</t>
  </si>
  <si>
    <t>Velocidade média da viagem em Km/hora</t>
  </si>
  <si>
    <t xml:space="preserve">PARÂMETROS </t>
  </si>
  <si>
    <t>VIAGEM PARA 01 MUNICÍPIO</t>
  </si>
  <si>
    <t>ESTIMATIVA DE VALOR DE DESLOCAMENTO PARA 01 PROFISSIONAL + MOTORISTA</t>
  </si>
  <si>
    <t>VALOR TOTAL COM IMPOSTOS</t>
  </si>
  <si>
    <t>MÉDIA DE TEMPO GASTO COM 02 VISITAS TÉCNICAS(h)</t>
  </si>
  <si>
    <r>
      <rPr>
        <sz val="8"/>
        <rFont val="Arial"/>
        <family val="2"/>
        <charset val="1"/>
      </rPr>
      <t xml:space="preserve">ESTIMATIVA DE TEMPO GASTO COM DESLOCAMENTO - </t>
    </r>
    <r>
      <rPr>
        <u/>
        <sz val="8"/>
        <rFont val="Arial"/>
        <family val="2"/>
        <charset val="1"/>
      </rPr>
      <t>80/Km/h</t>
    </r>
  </si>
  <si>
    <t>MÉDIA DISTÂNCIA PERCORRIDA DENTRO DOS MUNICÍPIOS(km)</t>
  </si>
  <si>
    <t>VIAGEM PARA 02 MUNICÍPIOS</t>
  </si>
  <si>
    <t>MÉDIA DE TEMPO GASTO COM 03 VISITAS TÉCNICAS(h)</t>
  </si>
  <si>
    <t>VIAGEM PARA 03 MUNICÍPIOS</t>
  </si>
  <si>
    <t>MÉDIA DE TEMPO GASTO COM 04 VISITAS TÉCNICAS(h)</t>
  </si>
  <si>
    <t>VIAGEM PARA 04 MUNICÍPIOS</t>
  </si>
  <si>
    <r>
      <t xml:space="preserve">VALOR DE DIÁRIAS </t>
    </r>
    <r>
      <rPr>
        <b/>
        <sz val="8"/>
        <color rgb="FF000000"/>
        <rFont val="Arial"/>
        <family val="2"/>
        <charset val="1"/>
      </rPr>
      <t>PARA 02 PROFISSIONAIS</t>
    </r>
  </si>
  <si>
    <t>MÉDIA DE TEMPO GASTO COM 05 VISITAS TÉCNICAS(h)</t>
  </si>
  <si>
    <t>VIAGEM PARA 05 MUNICÍPIOS</t>
  </si>
  <si>
    <t>VALOR MÉDIO POR DIA DE DESLOCAMENTO</t>
  </si>
  <si>
    <t>PARA 05 MUNICÍPIOS</t>
  </si>
  <si>
    <t>PARA 04 MUNICÍPIOS</t>
  </si>
  <si>
    <t>PARA 03 MUNICÍPIOS</t>
  </si>
  <si>
    <t>PARA 02 MUNICÍPIOS</t>
  </si>
  <si>
    <t>PARA 01 MUNICÍPIO</t>
  </si>
  <si>
    <t>MÉDIA GERAL DE VALOR DE DESLOCAMENTO</t>
  </si>
  <si>
    <t>Hora motorista</t>
  </si>
  <si>
    <t>estimativa</t>
  </si>
  <si>
    <t>custos indiretos, lucro e tributos</t>
  </si>
  <si>
    <t>Arquiteto ou Engenheiro Civil 40 horas semanais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</si>
</sst>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* #,##0.00_-;\-* #,##0.00_-;_-* \-??_-;_-@_-"/>
    <numFmt numFmtId="166" formatCode="&quot;R$ &quot;#,##0.00"/>
    <numFmt numFmtId="167" formatCode="_(* #,##0.0000_);_(* \(#,##0.0000\);_(* \-??_);_(@_)"/>
    <numFmt numFmtId="168" formatCode="#,##0.000"/>
    <numFmt numFmtId="169" formatCode="_-&quot;R$ &quot;* #,##0.00_-;&quot;-R$ &quot;* #,##0.00_-;_-&quot;R$ &quot;* \-??_-;_-@_-"/>
    <numFmt numFmtId="170" formatCode="_(* #,##0.00_);_(* \(#,##0.00\);_(* &quot;-&quot;??_);_(@_)"/>
    <numFmt numFmtId="171" formatCode="#,##0.00_ ;\-#,##0.00\ 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sz val="10"/>
      <color theme="0"/>
      <name val="Times New Roman"/>
      <family val="1"/>
    </font>
    <font>
      <b/>
      <sz val="12"/>
      <color theme="1"/>
      <name val="Times New Roman"/>
      <family val="1"/>
    </font>
    <font>
      <sz val="10"/>
      <color rgb="FF000000"/>
      <name val="Times New Roman"/>
      <charset val="204"/>
    </font>
    <font>
      <sz val="8"/>
      <name val="Arial"/>
      <family val="2"/>
      <charset val="1"/>
    </font>
    <font>
      <b/>
      <sz val="8"/>
      <color rgb="FFFF0000"/>
      <name val="Arial"/>
      <family val="2"/>
    </font>
    <font>
      <sz val="8"/>
      <color rgb="FF000000"/>
      <name val="Arial"/>
      <family val="2"/>
      <charset val="1"/>
    </font>
    <font>
      <b/>
      <sz val="8"/>
      <color rgb="FFFF0000"/>
      <name val="Arial"/>
      <family val="2"/>
      <charset val="1"/>
    </font>
    <font>
      <b/>
      <sz val="8"/>
      <color rgb="FF000000"/>
      <name val="Arial"/>
      <family val="2"/>
      <charset val="1"/>
    </font>
    <font>
      <sz val="10"/>
      <color rgb="FF000000"/>
      <name val="Times New Roman"/>
      <family val="1"/>
    </font>
    <font>
      <b/>
      <i/>
      <sz val="8"/>
      <name val="Arial"/>
      <family val="2"/>
      <charset val="1"/>
    </font>
    <font>
      <i/>
      <sz val="8"/>
      <name val="Arial"/>
      <family val="2"/>
      <charset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u/>
      <sz val="8"/>
      <name val="Arial"/>
      <family val="2"/>
      <charset val="1"/>
    </font>
    <font>
      <sz val="8"/>
      <color rgb="FFFF0000"/>
      <name val="Arial"/>
      <family val="2"/>
      <charset val="1"/>
    </font>
    <font>
      <b/>
      <sz val="8"/>
      <name val="Arial"/>
      <family val="2"/>
      <charset val="1"/>
    </font>
    <font>
      <b/>
      <u/>
      <sz val="8"/>
      <color rgb="FF1F497D"/>
      <name val="Arial"/>
      <family val="2"/>
      <charset val="1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Calibri"/>
      <family val="2"/>
      <charset val="1"/>
    </font>
    <font>
      <b/>
      <sz val="8"/>
      <name val="Arial"/>
      <family val="2"/>
    </font>
    <font>
      <sz val="8"/>
      <name val="Arial"/>
      <family val="2"/>
    </font>
    <font>
      <sz val="8"/>
      <color rgb="FF1F497D"/>
      <name val="Arial"/>
      <family val="2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sz val="14"/>
      <name val="Arial"/>
      <family val="2"/>
      <charset val="1"/>
    </font>
    <font>
      <b/>
      <u/>
      <sz val="14"/>
      <name val="Arial"/>
      <family val="2"/>
      <charset val="1"/>
    </font>
    <font>
      <sz val="11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</patternFill>
    </fill>
    <fill>
      <patternFill patternType="solid">
        <fgColor rgb="FFFFFF99"/>
        <bgColor rgb="FFFFFFCC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</borders>
  <cellStyleXfs count="34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0" fontId="3" fillId="0" borderId="0"/>
    <xf numFmtId="164" fontId="17" fillId="0" borderId="0" applyBorder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169" fontId="17" fillId="0" borderId="0" applyBorder="0" applyProtection="0"/>
    <xf numFmtId="44" fontId="1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28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7" fillId="0" borderId="0"/>
    <xf numFmtId="0" fontId="1" fillId="7" borderId="13" applyNumberFormat="0" applyFont="0" applyAlignment="0" applyProtection="0"/>
    <xf numFmtId="9" fontId="17" fillId="0" borderId="0" applyBorder="0" applyProtection="0"/>
    <xf numFmtId="9" fontId="17" fillId="0" borderId="0" applyBorder="0" applyProtection="0"/>
    <xf numFmtId="9" fontId="17" fillId="0" borderId="0" applyBorder="0" applyProtection="0"/>
    <xf numFmtId="9" fontId="3" fillId="0" borderId="0" applyBorder="0" applyAlignment="0" applyProtection="0"/>
    <xf numFmtId="170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03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6" borderId="1" xfId="0" applyFont="1" applyFill="1" applyBorder="1"/>
    <xf numFmtId="0" fontId="4" fillId="6" borderId="2" xfId="0" applyFont="1" applyFill="1" applyBorder="1"/>
    <xf numFmtId="0" fontId="4" fillId="6" borderId="3" xfId="0" applyFont="1" applyFill="1" applyBorder="1" applyAlignment="1"/>
    <xf numFmtId="0" fontId="4" fillId="6" borderId="1" xfId="0" applyFont="1" applyFill="1" applyBorder="1" applyAlignment="1"/>
    <xf numFmtId="14" fontId="4" fillId="6" borderId="1" xfId="0" applyNumberFormat="1" applyFont="1" applyFill="1" applyBorder="1" applyAlignment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4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/>
    <xf numFmtId="0" fontId="4" fillId="0" borderId="6" xfId="0" applyFont="1" applyBorder="1"/>
    <xf numFmtId="43" fontId="4" fillId="0" borderId="7" xfId="0" applyNumberFormat="1" applyFont="1" applyBorder="1"/>
    <xf numFmtId="10" fontId="4" fillId="0" borderId="6" xfId="0" applyNumberFormat="1" applyFont="1" applyBorder="1"/>
    <xf numFmtId="9" fontId="4" fillId="0" borderId="6" xfId="0" applyNumberFormat="1" applyFont="1" applyBorder="1"/>
    <xf numFmtId="9" fontId="4" fillId="0" borderId="0" xfId="0" applyNumberFormat="1" applyFont="1"/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/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/>
    <xf numFmtId="0" fontId="4" fillId="0" borderId="0" xfId="0" applyFont="1" applyBorder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/>
    </xf>
    <xf numFmtId="43" fontId="4" fillId="0" borderId="0" xfId="0" applyNumberFormat="1" applyFont="1" applyAlignment="1">
      <alignment vertical="top"/>
    </xf>
    <xf numFmtId="0" fontId="4" fillId="0" borderId="0" xfId="0" applyFont="1" applyAlignment="1"/>
    <xf numFmtId="0" fontId="4" fillId="0" borderId="5" xfId="0" applyFont="1" applyBorder="1" applyAlignment="1">
      <alignment vertical="top" wrapText="1"/>
    </xf>
    <xf numFmtId="43" fontId="4" fillId="0" borderId="5" xfId="0" applyNumberFormat="1" applyFont="1" applyBorder="1" applyAlignment="1">
      <alignment vertical="top"/>
    </xf>
    <xf numFmtId="0" fontId="4" fillId="0" borderId="5" xfId="0" applyFont="1" applyBorder="1" applyAlignment="1"/>
    <xf numFmtId="43" fontId="4" fillId="0" borderId="5" xfId="0" applyNumberFormat="1" applyFont="1" applyBorder="1"/>
    <xf numFmtId="43" fontId="4" fillId="0" borderId="9" xfId="0" applyNumberFormat="1" applyFont="1" applyBorder="1" applyAlignment="1">
      <alignment vertical="top"/>
    </xf>
    <xf numFmtId="0" fontId="4" fillId="0" borderId="9" xfId="0" applyFont="1" applyBorder="1"/>
    <xf numFmtId="0" fontId="5" fillId="0" borderId="0" xfId="0" applyFont="1" applyAlignment="1"/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/>
    <xf numFmtId="43" fontId="4" fillId="6" borderId="5" xfId="0" applyNumberFormat="1" applyFont="1" applyFill="1" applyBorder="1"/>
    <xf numFmtId="0" fontId="4" fillId="0" borderId="5" xfId="0" applyFont="1" applyBorder="1" applyAlignment="1">
      <alignment horizontal="center" vertical="top"/>
    </xf>
    <xf numFmtId="0" fontId="4" fillId="0" borderId="5" xfId="0" applyFont="1" applyBorder="1" applyAlignment="1">
      <alignment horizontal="center"/>
    </xf>
    <xf numFmtId="0" fontId="11" fillId="0" borderId="0" xfId="12"/>
    <xf numFmtId="0" fontId="12" fillId="0" borderId="0" xfId="13" applyFont="1"/>
    <xf numFmtId="165" fontId="12" fillId="0" borderId="0" xfId="13" applyNumberFormat="1" applyFont="1"/>
    <xf numFmtId="165" fontId="13" fillId="3" borderId="1" xfId="13" applyNumberFormat="1" applyFont="1" applyFill="1" applyBorder="1" applyAlignment="1">
      <alignment horizontal="center"/>
    </xf>
    <xf numFmtId="0" fontId="13" fillId="3" borderId="1" xfId="13" applyFont="1" applyFill="1" applyBorder="1" applyAlignment="1">
      <alignment horizontal="center"/>
    </xf>
    <xf numFmtId="0" fontId="14" fillId="0" borderId="0" xfId="13" applyFont="1"/>
    <xf numFmtId="165" fontId="15" fillId="0" borderId="0" xfId="13" applyNumberFormat="1" applyFont="1" applyAlignment="1">
      <alignment horizontal="center"/>
    </xf>
    <xf numFmtId="0" fontId="14" fillId="0" borderId="0" xfId="13" applyFont="1" applyAlignment="1">
      <alignment horizontal="center"/>
    </xf>
    <xf numFmtId="0" fontId="14" fillId="0" borderId="0" xfId="13" applyFont="1" applyAlignment="1">
      <alignment horizontal="center" vertical="center"/>
    </xf>
    <xf numFmtId="2" fontId="14" fillId="0" borderId="0" xfId="13" applyNumberFormat="1" applyFont="1" applyAlignment="1">
      <alignment horizontal="center"/>
    </xf>
    <xf numFmtId="4" fontId="16" fillId="0" borderId="0" xfId="13" applyNumberFormat="1" applyFont="1"/>
    <xf numFmtId="3" fontId="14" fillId="0" borderId="0" xfId="13" applyNumberFormat="1" applyFont="1" applyAlignment="1">
      <alignment horizontal="center"/>
    </xf>
    <xf numFmtId="2" fontId="14" fillId="0" borderId="0" xfId="13" applyNumberFormat="1" applyFont="1"/>
    <xf numFmtId="164" fontId="16" fillId="0" borderId="0" xfId="13" applyNumberFormat="1" applyFont="1" applyAlignment="1">
      <alignment horizontal="center" vertical="center"/>
    </xf>
    <xf numFmtId="165" fontId="15" fillId="3" borderId="1" xfId="13" applyNumberFormat="1" applyFont="1" applyFill="1" applyBorder="1" applyAlignment="1">
      <alignment horizontal="center" vertical="center"/>
    </xf>
    <xf numFmtId="166" fontId="16" fillId="8" borderId="1" xfId="13" applyNumberFormat="1" applyFont="1" applyFill="1" applyBorder="1" applyAlignment="1">
      <alignment horizontal="center" vertical="center"/>
    </xf>
    <xf numFmtId="166" fontId="14" fillId="8" borderId="1" xfId="13" applyNumberFormat="1" applyFont="1" applyFill="1" applyBorder="1" applyAlignment="1">
      <alignment horizontal="center" vertical="center"/>
    </xf>
    <xf numFmtId="166" fontId="14" fillId="8" borderId="1" xfId="14" applyNumberFormat="1" applyFont="1" applyFill="1" applyBorder="1" applyAlignment="1" applyProtection="1">
      <alignment horizontal="center" vertical="center"/>
    </xf>
    <xf numFmtId="166" fontId="12" fillId="8" borderId="1" xfId="14" applyNumberFormat="1" applyFont="1" applyFill="1" applyBorder="1" applyAlignment="1" applyProtection="1">
      <alignment horizontal="center" vertical="center"/>
    </xf>
    <xf numFmtId="4" fontId="12" fillId="0" borderId="1" xfId="14" applyNumberFormat="1" applyFont="1" applyBorder="1" applyAlignment="1" applyProtection="1">
      <alignment horizontal="center" vertical="center"/>
    </xf>
    <xf numFmtId="1" fontId="12" fillId="0" borderId="1" xfId="13" applyNumberFormat="1" applyFont="1" applyBorder="1" applyAlignment="1">
      <alignment horizontal="center" vertical="center"/>
    </xf>
    <xf numFmtId="2" fontId="12" fillId="0" borderId="1" xfId="13" applyNumberFormat="1" applyFont="1" applyBorder="1" applyAlignment="1">
      <alignment horizontal="center" vertical="center"/>
    </xf>
    <xf numFmtId="4" fontId="14" fillId="0" borderId="1" xfId="13" applyNumberFormat="1" applyFont="1" applyBorder="1" applyAlignment="1">
      <alignment horizontal="center" vertical="center"/>
    </xf>
    <xf numFmtId="3" fontId="14" fillId="0" borderId="1" xfId="13" applyNumberFormat="1" applyFont="1" applyBorder="1" applyAlignment="1">
      <alignment horizontal="center" vertical="center"/>
    </xf>
    <xf numFmtId="2" fontId="14" fillId="0" borderId="1" xfId="13" applyNumberFormat="1" applyFont="1" applyBorder="1" applyAlignment="1">
      <alignment horizontal="center" vertical="center"/>
    </xf>
    <xf numFmtId="2" fontId="14" fillId="0" borderId="1" xfId="14" applyNumberFormat="1" applyFont="1" applyBorder="1" applyAlignment="1" applyProtection="1">
      <alignment horizontal="center" vertical="center"/>
    </xf>
    <xf numFmtId="3" fontId="12" fillId="0" borderId="1" xfId="14" applyNumberFormat="1" applyFont="1" applyBorder="1" applyAlignment="1" applyProtection="1">
      <alignment horizontal="center" vertical="center"/>
    </xf>
    <xf numFmtId="0" fontId="14" fillId="0" borderId="1" xfId="13" applyFont="1" applyBorder="1" applyAlignment="1">
      <alignment horizontal="center" vertical="center"/>
    </xf>
    <xf numFmtId="167" fontId="16" fillId="0" borderId="0" xfId="13" applyNumberFormat="1" applyFont="1" applyAlignment="1">
      <alignment horizontal="center" vertical="center"/>
    </xf>
    <xf numFmtId="0" fontId="16" fillId="0" borderId="0" xfId="13" applyFont="1" applyAlignment="1">
      <alignment horizontal="center" vertical="center"/>
    </xf>
    <xf numFmtId="0" fontId="16" fillId="9" borderId="1" xfId="13" applyFont="1" applyFill="1" applyBorder="1" applyAlignment="1">
      <alignment horizontal="center" vertical="center" wrapText="1"/>
    </xf>
    <xf numFmtId="10" fontId="18" fillId="9" borderId="1" xfId="13" applyNumberFormat="1" applyFont="1" applyFill="1" applyBorder="1" applyAlignment="1">
      <alignment horizontal="center" vertical="center"/>
    </xf>
    <xf numFmtId="2" fontId="16" fillId="9" borderId="1" xfId="13" applyNumberFormat="1" applyFont="1" applyFill="1" applyBorder="1" applyAlignment="1">
      <alignment horizontal="center" vertical="center" wrapText="1"/>
    </xf>
    <xf numFmtId="4" fontId="16" fillId="9" borderId="1" xfId="13" applyNumberFormat="1" applyFont="1" applyFill="1" applyBorder="1" applyAlignment="1">
      <alignment horizontal="center" vertical="center" wrapText="1"/>
    </xf>
    <xf numFmtId="3" fontId="16" fillId="9" borderId="1" xfId="13" applyNumberFormat="1" applyFont="1" applyFill="1" applyBorder="1" applyAlignment="1">
      <alignment horizontal="center" vertical="center" wrapText="1"/>
    </xf>
    <xf numFmtId="0" fontId="15" fillId="3" borderId="1" xfId="13" applyFont="1" applyFill="1" applyBorder="1" applyAlignment="1">
      <alignment horizontal="center" vertical="center" wrapText="1"/>
    </xf>
    <xf numFmtId="0" fontId="14" fillId="9" borderId="1" xfId="13" applyFont="1" applyFill="1" applyBorder="1" applyAlignment="1">
      <alignment horizontal="center" vertical="center" wrapText="1"/>
    </xf>
    <xf numFmtId="0" fontId="19" fillId="9" borderId="1" xfId="13" applyFont="1" applyFill="1" applyBorder="1" applyAlignment="1">
      <alignment horizontal="center" vertical="center" wrapText="1"/>
    </xf>
    <xf numFmtId="0" fontId="20" fillId="9" borderId="1" xfId="13" applyFont="1" applyFill="1" applyBorder="1" applyAlignment="1">
      <alignment horizontal="center" vertical="center" wrapText="1"/>
    </xf>
    <xf numFmtId="2" fontId="14" fillId="9" borderId="1" xfId="13" applyNumberFormat="1" applyFont="1" applyFill="1" applyBorder="1" applyAlignment="1">
      <alignment horizontal="center" vertical="center" wrapText="1"/>
    </xf>
    <xf numFmtId="4" fontId="14" fillId="9" borderId="1" xfId="13" applyNumberFormat="1" applyFont="1" applyFill="1" applyBorder="1" applyAlignment="1">
      <alignment horizontal="center" vertical="center" wrapText="1"/>
    </xf>
    <xf numFmtId="3" fontId="14" fillId="9" borderId="1" xfId="13" applyNumberFormat="1" applyFont="1" applyFill="1" applyBorder="1" applyAlignment="1">
      <alignment horizontal="center" vertical="center" wrapText="1"/>
    </xf>
    <xf numFmtId="2" fontId="12" fillId="9" borderId="1" xfId="13" applyNumberFormat="1" applyFont="1" applyFill="1" applyBorder="1" applyAlignment="1">
      <alignment horizontal="center" vertical="center" wrapText="1"/>
    </xf>
    <xf numFmtId="0" fontId="17" fillId="0" borderId="0" xfId="12" applyFont="1"/>
    <xf numFmtId="0" fontId="12" fillId="0" borderId="0" xfId="13" applyFont="1" applyAlignment="1">
      <alignment horizontal="left" vertical="center"/>
    </xf>
    <xf numFmtId="0" fontId="23" fillId="10" borderId="0" xfId="13" applyFont="1" applyFill="1" applyAlignment="1">
      <alignment horizontal="center" vertical="center"/>
    </xf>
    <xf numFmtId="4" fontId="24" fillId="0" borderId="1" xfId="13" applyNumberFormat="1" applyFont="1" applyBorder="1"/>
    <xf numFmtId="4" fontId="24" fillId="0" borderId="1" xfId="13" applyNumberFormat="1" applyFont="1" applyBorder="1" applyAlignment="1">
      <alignment vertical="center"/>
    </xf>
    <xf numFmtId="0" fontId="12" fillId="0" borderId="3" xfId="13" applyFont="1" applyBorder="1" applyAlignment="1">
      <alignment horizontal="left" vertical="center"/>
    </xf>
    <xf numFmtId="0" fontId="12" fillId="0" borderId="4" xfId="13" applyFont="1" applyBorder="1" applyAlignment="1">
      <alignment horizontal="left" vertical="center"/>
    </xf>
    <xf numFmtId="0" fontId="12" fillId="0" borderId="2" xfId="13" applyFont="1" applyBorder="1" applyAlignment="1">
      <alignment horizontal="left" vertical="center"/>
    </xf>
    <xf numFmtId="168" fontId="24" fillId="0" borderId="1" xfId="13" applyNumberFormat="1" applyFont="1" applyBorder="1"/>
    <xf numFmtId="4" fontId="24" fillId="0" borderId="1" xfId="13" applyNumberFormat="1" applyFont="1" applyBorder="1" applyAlignment="1">
      <alignment horizontal="right"/>
    </xf>
    <xf numFmtId="0" fontId="12" fillId="0" borderId="0" xfId="13" applyFont="1" applyAlignment="1">
      <alignment vertical="center"/>
    </xf>
    <xf numFmtId="0" fontId="24" fillId="0" borderId="0" xfId="13" applyFont="1" applyAlignment="1">
      <alignment horizontal="center" vertical="center"/>
    </xf>
    <xf numFmtId="0" fontId="12" fillId="0" borderId="0" xfId="13" applyFont="1" applyAlignment="1">
      <alignment horizontal="center" vertical="center"/>
    </xf>
    <xf numFmtId="2" fontId="12" fillId="0" borderId="0" xfId="13" applyNumberFormat="1" applyFont="1" applyAlignment="1">
      <alignment horizontal="center" vertical="center"/>
    </xf>
    <xf numFmtId="0" fontId="24" fillId="0" borderId="14" xfId="13" applyFont="1" applyBorder="1" applyAlignment="1">
      <alignment horizontal="center" vertical="center"/>
    </xf>
    <xf numFmtId="0" fontId="24" fillId="0" borderId="14" xfId="13" applyFont="1" applyBorder="1" applyAlignment="1">
      <alignment horizontal="left" vertical="center"/>
    </xf>
    <xf numFmtId="0" fontId="12" fillId="0" borderId="0" xfId="13" applyFont="1" applyAlignment="1">
      <alignment horizontal="center"/>
    </xf>
    <xf numFmtId="0" fontId="25" fillId="0" borderId="0" xfId="13" applyFont="1" applyBorder="1" applyAlignment="1"/>
    <xf numFmtId="0" fontId="24" fillId="0" borderId="0" xfId="13" applyFont="1" applyBorder="1" applyAlignment="1"/>
    <xf numFmtId="0" fontId="29" fillId="0" borderId="0" xfId="13" applyFont="1" applyAlignment="1">
      <alignment horizontal="center"/>
    </xf>
    <xf numFmtId="2" fontId="12" fillId="0" borderId="0" xfId="13" applyNumberFormat="1" applyFont="1" applyAlignment="1">
      <alignment horizontal="center"/>
    </xf>
    <xf numFmtId="4" fontId="24" fillId="0" borderId="0" xfId="13" applyNumberFormat="1" applyFont="1"/>
    <xf numFmtId="3" fontId="12" fillId="0" borderId="0" xfId="13" applyNumberFormat="1" applyFont="1" applyAlignment="1">
      <alignment horizontal="center"/>
    </xf>
    <xf numFmtId="2" fontId="12" fillId="0" borderId="0" xfId="13" applyNumberFormat="1" applyFont="1"/>
    <xf numFmtId="0" fontId="30" fillId="0" borderId="0" xfId="13" applyFont="1"/>
    <xf numFmtId="165" fontId="13" fillId="0" borderId="0" xfId="13" applyNumberFormat="1" applyFont="1" applyAlignment="1">
      <alignment horizontal="center"/>
    </xf>
    <xf numFmtId="165" fontId="13" fillId="3" borderId="1" xfId="13" applyNumberFormat="1" applyFont="1" applyFill="1" applyBorder="1" applyAlignment="1">
      <alignment horizontal="center" vertical="center"/>
    </xf>
    <xf numFmtId="3" fontId="12" fillId="0" borderId="1" xfId="13" applyNumberFormat="1" applyFont="1" applyBorder="1" applyAlignment="1">
      <alignment horizontal="center" vertical="center"/>
    </xf>
    <xf numFmtId="0" fontId="13" fillId="3" borderId="1" xfId="13" applyFont="1" applyFill="1" applyBorder="1" applyAlignment="1">
      <alignment horizontal="center" vertical="center" wrapText="1"/>
    </xf>
    <xf numFmtId="3" fontId="12" fillId="9" borderId="1" xfId="13" applyNumberFormat="1" applyFont="1" applyFill="1" applyBorder="1" applyAlignment="1">
      <alignment horizontal="center" vertical="center" wrapText="1"/>
    </xf>
    <xf numFmtId="0" fontId="12" fillId="9" borderId="1" xfId="13" applyFont="1" applyFill="1" applyBorder="1" applyAlignment="1">
      <alignment horizontal="center" vertical="center" wrapText="1"/>
    </xf>
    <xf numFmtId="0" fontId="29" fillId="0" borderId="0" xfId="13" applyFont="1" applyAlignment="1">
      <alignment horizontal="center" vertical="center"/>
    </xf>
    <xf numFmtId="0" fontId="30" fillId="0" borderId="0" xfId="13" applyFont="1" applyAlignment="1">
      <alignment horizontal="center"/>
    </xf>
    <xf numFmtId="3" fontId="31" fillId="0" borderId="1" xfId="13" applyNumberFormat="1" applyFont="1" applyBorder="1" applyAlignment="1">
      <alignment horizontal="center" vertical="center"/>
    </xf>
    <xf numFmtId="3" fontId="31" fillId="0" borderId="1" xfId="14" applyNumberFormat="1" applyFont="1" applyBorder="1" applyAlignment="1" applyProtection="1">
      <alignment horizontal="center" vertical="center"/>
    </xf>
    <xf numFmtId="0" fontId="21" fillId="9" borderId="1" xfId="13" applyFont="1" applyFill="1" applyBorder="1" applyAlignment="1">
      <alignment horizontal="center" vertical="center" wrapText="1"/>
    </xf>
    <xf numFmtId="3" fontId="31" fillId="9" borderId="1" xfId="13" applyNumberFormat="1" applyFont="1" applyFill="1" applyBorder="1" applyAlignment="1">
      <alignment horizontal="center" vertical="center" wrapText="1"/>
    </xf>
    <xf numFmtId="0" fontId="31" fillId="9" borderId="1" xfId="13" applyFont="1" applyFill="1" applyBorder="1" applyAlignment="1">
      <alignment horizontal="center" vertical="center" wrapText="1"/>
    </xf>
    <xf numFmtId="171" fontId="13" fillId="0" borderId="0" xfId="13" applyNumberFormat="1" applyFont="1" applyAlignment="1">
      <alignment horizontal="center"/>
    </xf>
    <xf numFmtId="0" fontId="3" fillId="0" borderId="0" xfId="13"/>
    <xf numFmtId="0" fontId="3" fillId="0" borderId="0" xfId="13" applyAlignment="1">
      <alignment vertical="center"/>
    </xf>
    <xf numFmtId="166" fontId="3" fillId="0" borderId="0" xfId="13" applyNumberFormat="1" applyAlignment="1">
      <alignment vertical="center"/>
    </xf>
    <xf numFmtId="166" fontId="32" fillId="11" borderId="1" xfId="13" applyNumberFormat="1" applyFont="1" applyFill="1" applyBorder="1" applyAlignment="1">
      <alignment vertical="center"/>
    </xf>
    <xf numFmtId="0" fontId="32" fillId="11" borderId="1" xfId="13" applyFont="1" applyFill="1" applyBorder="1" applyAlignment="1">
      <alignment horizontal="right" vertical="center" wrapText="1"/>
    </xf>
    <xf numFmtId="166" fontId="33" fillId="0" borderId="1" xfId="13" applyNumberFormat="1" applyFont="1" applyBorder="1" applyAlignment="1">
      <alignment vertical="center"/>
    </xf>
    <xf numFmtId="0" fontId="3" fillId="0" borderId="1" xfId="13" applyBorder="1" applyAlignment="1">
      <alignment vertical="center"/>
    </xf>
    <xf numFmtId="166" fontId="3" fillId="0" borderId="1" xfId="13" applyNumberFormat="1" applyBorder="1" applyAlignment="1">
      <alignment vertical="center"/>
    </xf>
    <xf numFmtId="0" fontId="34" fillId="0" borderId="1" xfId="13" applyFont="1" applyBorder="1" applyAlignment="1">
      <alignment vertical="center"/>
    </xf>
    <xf numFmtId="0" fontId="35" fillId="0" borderId="0" xfId="13" applyFont="1" applyAlignment="1">
      <alignment horizontal="center"/>
    </xf>
    <xf numFmtId="0" fontId="37" fillId="0" borderId="0" xfId="13" applyFont="1" applyAlignment="1">
      <alignment vertical="center" wrapText="1"/>
    </xf>
    <xf numFmtId="43" fontId="4" fillId="0" borderId="7" xfId="10" applyFont="1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9" fillId="5" borderId="0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6" borderId="2" xfId="0" applyFont="1" applyFill="1" applyBorder="1" applyAlignment="1">
      <alignment horizontal="center" vertical="top" shrinkToFit="1"/>
    </xf>
    <xf numFmtId="0" fontId="5" fillId="6" borderId="4" xfId="0" applyFont="1" applyFill="1" applyBorder="1" applyAlignment="1">
      <alignment horizontal="center" vertical="top" shrinkToFit="1"/>
    </xf>
    <xf numFmtId="0" fontId="5" fillId="6" borderId="3" xfId="0" applyFont="1" applyFill="1" applyBorder="1" applyAlignment="1">
      <alignment horizontal="center" vertical="top" shrinkToFi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4" fillId="0" borderId="6" xfId="0" applyNumberFormat="1" applyFont="1" applyBorder="1" applyAlignment="1">
      <alignment horizontal="center" vertical="center" wrapText="1"/>
    </xf>
    <xf numFmtId="0" fontId="12" fillId="0" borderId="2" xfId="13" applyFont="1" applyBorder="1" applyAlignment="1">
      <alignment horizontal="left"/>
    </xf>
    <xf numFmtId="0" fontId="12" fillId="0" borderId="4" xfId="13" applyFont="1" applyBorder="1" applyAlignment="1">
      <alignment horizontal="left"/>
    </xf>
    <xf numFmtId="0" fontId="12" fillId="0" borderId="3" xfId="13" applyFont="1" applyBorder="1" applyAlignment="1">
      <alignment horizontal="left"/>
    </xf>
    <xf numFmtId="0" fontId="24" fillId="0" borderId="14" xfId="13" applyFont="1" applyBorder="1" applyAlignment="1">
      <alignment horizontal="center" vertical="center"/>
    </xf>
    <xf numFmtId="0" fontId="37" fillId="0" borderId="0" xfId="13" applyFont="1" applyBorder="1" applyAlignment="1">
      <alignment horizontal="center" vertical="center" wrapText="1"/>
    </xf>
    <xf numFmtId="0" fontId="36" fillId="0" borderId="0" xfId="13" applyFont="1" applyBorder="1" applyAlignment="1">
      <alignment horizontal="center"/>
    </xf>
    <xf numFmtId="43" fontId="10" fillId="6" borderId="11" xfId="0" applyNumberFormat="1" applyFont="1" applyFill="1" applyBorder="1" applyAlignment="1">
      <alignment horizontal="right"/>
    </xf>
    <xf numFmtId="43" fontId="10" fillId="6" borderId="12" xfId="0" applyNumberFormat="1" applyFont="1" applyFill="1" applyBorder="1" applyAlignment="1">
      <alignment horizontal="right"/>
    </xf>
    <xf numFmtId="0" fontId="10" fillId="6" borderId="10" xfId="0" applyFont="1" applyFill="1" applyBorder="1" applyAlignment="1">
      <alignment horizontal="center"/>
    </xf>
    <xf numFmtId="0" fontId="10" fillId="6" borderId="11" xfId="0" applyFont="1" applyFill="1" applyBorder="1" applyAlignment="1">
      <alignment horizontal="center"/>
    </xf>
    <xf numFmtId="0" fontId="10" fillId="0" borderId="0" xfId="0" applyFont="1" applyAlignment="1">
      <alignment horizontal="center"/>
    </xf>
  </cellXfs>
  <cellStyles count="34">
    <cellStyle name="Hiperlink 2" xfId="15"/>
    <cellStyle name="Hiperlink 3" xfId="16"/>
    <cellStyle name="Moeda 2" xfId="17"/>
    <cellStyle name="Moeda 3" xfId="18"/>
    <cellStyle name="Moeda 4" xfId="19"/>
    <cellStyle name="Normal" xfId="0" builtinId="0"/>
    <cellStyle name="Normal 2" xfId="1"/>
    <cellStyle name="Normal 3" xfId="12"/>
    <cellStyle name="Normal 3 2" xfId="13"/>
    <cellStyle name="Normal 4" xfId="20"/>
    <cellStyle name="Normal 4 2" xfId="21"/>
    <cellStyle name="Normal 5" xfId="22"/>
    <cellStyle name="Normal 5 2" xfId="23"/>
    <cellStyle name="Normal 6" xfId="24"/>
    <cellStyle name="Normal 7" xfId="25"/>
    <cellStyle name="Normal 8" xfId="26"/>
    <cellStyle name="Nota 2" xfId="27"/>
    <cellStyle name="Porcentagem" xfId="11" builtinId="5"/>
    <cellStyle name="Porcentagem 2" xfId="28"/>
    <cellStyle name="Porcentagem 3" xfId="29"/>
    <cellStyle name="Porcentagem 4" xfId="30"/>
    <cellStyle name="Porcentagem 5" xfId="31"/>
    <cellStyle name="Vírgula" xfId="10" builtinId="3"/>
    <cellStyle name="Vírgula 2" xfId="2"/>
    <cellStyle name="Vírgula 3" xfId="3"/>
    <cellStyle name="Vírgula 3 2" xfId="4"/>
    <cellStyle name="Vírgula 3 3" xfId="14"/>
    <cellStyle name="Vírgula 4" xfId="5"/>
    <cellStyle name="Vírgula 4 2" xfId="6"/>
    <cellStyle name="Vírgula 4 3" xfId="32"/>
    <cellStyle name="Vírgula 5" xfId="7"/>
    <cellStyle name="Vírgula 5 2" xfId="8"/>
    <cellStyle name="Vírgula 6" xfId="9"/>
    <cellStyle name="Vírgula 7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9"/>
  <sheetViews>
    <sheetView topLeftCell="A75" zoomScale="115" zoomScaleNormal="115" workbookViewId="0">
      <selection activeCell="C103" sqref="C10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174" t="s">
        <v>0</v>
      </c>
      <c r="B1" s="174"/>
      <c r="C1" s="174"/>
      <c r="D1" s="174"/>
    </row>
    <row r="2" spans="1:4" ht="15.75" x14ac:dyDescent="0.25">
      <c r="A2" s="26"/>
      <c r="B2" s="26"/>
      <c r="C2" s="26"/>
      <c r="D2" s="26"/>
    </row>
    <row r="3" spans="1:4" x14ac:dyDescent="0.2">
      <c r="A3" s="173" t="s">
        <v>107</v>
      </c>
      <c r="B3" s="173"/>
      <c r="C3" s="173"/>
      <c r="D3" s="173"/>
    </row>
    <row r="4" spans="1:4" x14ac:dyDescent="0.2">
      <c r="A4" s="2"/>
      <c r="B4" s="2"/>
      <c r="C4" s="2"/>
      <c r="D4" s="2"/>
    </row>
    <row r="5" spans="1:4" x14ac:dyDescent="0.2">
      <c r="A5" s="182" t="s">
        <v>108</v>
      </c>
      <c r="B5" s="183"/>
      <c r="C5" s="183"/>
      <c r="D5" s="184"/>
    </row>
    <row r="6" spans="1:4" x14ac:dyDescent="0.2">
      <c r="A6" s="29" t="s">
        <v>4</v>
      </c>
      <c r="B6" s="30" t="s">
        <v>101</v>
      </c>
      <c r="C6" s="31"/>
      <c r="D6" s="32" t="s">
        <v>100</v>
      </c>
    </row>
    <row r="7" spans="1:4" x14ac:dyDescent="0.2">
      <c r="A7" s="29" t="s">
        <v>6</v>
      </c>
      <c r="B7" s="30" t="s">
        <v>102</v>
      </c>
      <c r="C7" s="31"/>
      <c r="D7" s="32"/>
    </row>
    <row r="8" spans="1:4" x14ac:dyDescent="0.2">
      <c r="A8" s="29" t="s">
        <v>8</v>
      </c>
      <c r="B8" s="30" t="s">
        <v>103</v>
      </c>
      <c r="C8" s="31"/>
      <c r="D8" s="33"/>
    </row>
    <row r="9" spans="1:4" x14ac:dyDescent="0.2">
      <c r="A9" s="29" t="s">
        <v>10</v>
      </c>
      <c r="B9" s="30" t="s">
        <v>106</v>
      </c>
      <c r="C9" s="31"/>
      <c r="D9" s="32" t="s">
        <v>104</v>
      </c>
    </row>
    <row r="10" spans="1:4" x14ac:dyDescent="0.2">
      <c r="A10" s="29" t="s">
        <v>12</v>
      </c>
      <c r="B10" s="30" t="s">
        <v>106</v>
      </c>
      <c r="C10" s="31"/>
      <c r="D10" s="32" t="s">
        <v>105</v>
      </c>
    </row>
    <row r="12" spans="1:4" x14ac:dyDescent="0.2">
      <c r="A12" s="173" t="s">
        <v>88</v>
      </c>
      <c r="B12" s="173"/>
      <c r="C12" s="173"/>
      <c r="D12" s="173"/>
    </row>
    <row r="13" spans="1:4" x14ac:dyDescent="0.2">
      <c r="A13" s="2"/>
      <c r="B13" s="2"/>
      <c r="C13" s="2"/>
      <c r="D13" s="2"/>
    </row>
    <row r="14" spans="1:4" ht="38.25" x14ac:dyDescent="0.2">
      <c r="A14" s="185" t="s">
        <v>89</v>
      </c>
      <c r="B14" s="185"/>
      <c r="C14" s="7" t="s">
        <v>90</v>
      </c>
      <c r="D14" s="27" t="s">
        <v>91</v>
      </c>
    </row>
    <row r="15" spans="1:4" x14ac:dyDescent="0.2">
      <c r="A15" s="186" t="s">
        <v>226</v>
      </c>
      <c r="B15" s="186"/>
      <c r="C15" s="34" t="s">
        <v>110</v>
      </c>
      <c r="D15" s="34">
        <v>5</v>
      </c>
    </row>
    <row r="17" spans="1:4" x14ac:dyDescent="0.2">
      <c r="A17" s="173" t="s">
        <v>72</v>
      </c>
      <c r="B17" s="173"/>
      <c r="C17" s="173"/>
      <c r="D17" s="173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73</v>
      </c>
      <c r="C19" s="187" t="s">
        <v>111</v>
      </c>
      <c r="D19" s="188"/>
    </row>
    <row r="20" spans="1:4" x14ac:dyDescent="0.2">
      <c r="A20" s="5">
        <v>2</v>
      </c>
      <c r="B20" s="5" t="s">
        <v>92</v>
      </c>
      <c r="C20" s="187" t="s">
        <v>112</v>
      </c>
      <c r="D20" s="188"/>
    </row>
    <row r="21" spans="1:4" x14ac:dyDescent="0.2">
      <c r="A21" s="5">
        <v>3</v>
      </c>
      <c r="B21" s="5" t="s">
        <v>74</v>
      </c>
      <c r="C21" s="187"/>
      <c r="D21" s="188"/>
    </row>
    <row r="22" spans="1:4" x14ac:dyDescent="0.2">
      <c r="A22" s="5">
        <v>4</v>
      </c>
      <c r="B22" s="5" t="s">
        <v>75</v>
      </c>
      <c r="C22" s="187"/>
      <c r="D22" s="188"/>
    </row>
    <row r="23" spans="1:4" x14ac:dyDescent="0.2">
      <c r="A23" s="5">
        <v>5</v>
      </c>
      <c r="B23" s="5" t="s">
        <v>76</v>
      </c>
      <c r="C23" s="187"/>
      <c r="D23" s="188"/>
    </row>
    <row r="25" spans="1:4" x14ac:dyDescent="0.2">
      <c r="A25" s="173" t="s">
        <v>1</v>
      </c>
      <c r="B25" s="173"/>
      <c r="C25" s="173"/>
      <c r="D25" s="173"/>
    </row>
    <row r="27" spans="1:4" x14ac:dyDescent="0.2">
      <c r="A27" s="6">
        <v>1</v>
      </c>
      <c r="B27" s="170" t="s">
        <v>2</v>
      </c>
      <c r="C27" s="170"/>
      <c r="D27" s="6" t="s">
        <v>3</v>
      </c>
    </row>
    <row r="28" spans="1:4" x14ac:dyDescent="0.2">
      <c r="A28" s="7" t="s">
        <v>4</v>
      </c>
      <c r="B28" s="169" t="s">
        <v>5</v>
      </c>
      <c r="C28" s="169"/>
      <c r="D28" s="13">
        <v>13356.03</v>
      </c>
    </row>
    <row r="29" spans="1:4" x14ac:dyDescent="0.2">
      <c r="A29" s="7" t="s">
        <v>6</v>
      </c>
      <c r="B29" s="169" t="s">
        <v>7</v>
      </c>
      <c r="C29" s="169"/>
      <c r="D29" s="13"/>
    </row>
    <row r="30" spans="1:4" x14ac:dyDescent="0.2">
      <c r="A30" s="7" t="s">
        <v>8</v>
      </c>
      <c r="B30" s="169" t="s">
        <v>9</v>
      </c>
      <c r="C30" s="169"/>
      <c r="D30" s="13"/>
    </row>
    <row r="31" spans="1:4" x14ac:dyDescent="0.2">
      <c r="A31" s="7" t="s">
        <v>10</v>
      </c>
      <c r="B31" s="169" t="s">
        <v>11</v>
      </c>
      <c r="C31" s="169"/>
      <c r="D31" s="13"/>
    </row>
    <row r="32" spans="1:4" x14ac:dyDescent="0.2">
      <c r="A32" s="7" t="s">
        <v>12</v>
      </c>
      <c r="B32" s="169" t="s">
        <v>13</v>
      </c>
      <c r="C32" s="169"/>
      <c r="D32" s="13"/>
    </row>
    <row r="33" spans="1:4" x14ac:dyDescent="0.2">
      <c r="A33" s="7"/>
      <c r="B33" s="169"/>
      <c r="C33" s="169"/>
      <c r="D33" s="13"/>
    </row>
    <row r="34" spans="1:4" x14ac:dyDescent="0.2">
      <c r="A34" s="7" t="s">
        <v>14</v>
      </c>
      <c r="B34" s="169" t="s">
        <v>15</v>
      </c>
      <c r="C34" s="169"/>
      <c r="D34" s="13"/>
    </row>
    <row r="35" spans="1:4" x14ac:dyDescent="0.2">
      <c r="A35" s="170" t="s">
        <v>16</v>
      </c>
      <c r="B35" s="170"/>
      <c r="C35" s="170"/>
      <c r="D35" s="20">
        <f>SUM(D28:D34)</f>
        <v>13356.03</v>
      </c>
    </row>
    <row r="38" spans="1:4" x14ac:dyDescent="0.2">
      <c r="A38" s="173" t="s">
        <v>17</v>
      </c>
      <c r="B38" s="173"/>
      <c r="C38" s="173"/>
      <c r="D38" s="173"/>
    </row>
    <row r="39" spans="1:4" x14ac:dyDescent="0.2">
      <c r="A39" s="3"/>
    </row>
    <row r="40" spans="1:4" x14ac:dyDescent="0.2">
      <c r="A40" s="171" t="s">
        <v>18</v>
      </c>
      <c r="B40" s="171"/>
      <c r="C40" s="171"/>
      <c r="D40" s="171"/>
    </row>
    <row r="42" spans="1:4" x14ac:dyDescent="0.2">
      <c r="A42" s="6" t="s">
        <v>19</v>
      </c>
      <c r="B42" s="170" t="s">
        <v>20</v>
      </c>
      <c r="C42" s="170"/>
      <c r="D42" s="6" t="s">
        <v>3</v>
      </c>
    </row>
    <row r="43" spans="1:4" x14ac:dyDescent="0.2">
      <c r="A43" s="7" t="s">
        <v>4</v>
      </c>
      <c r="B43" s="8" t="s">
        <v>21</v>
      </c>
      <c r="C43" s="12">
        <f>TRUNC(1/12,4)</f>
        <v>8.3299999999999999E-2</v>
      </c>
      <c r="D43" s="13">
        <f>TRUNC($D$35*C43,2)</f>
        <v>1112.55</v>
      </c>
    </row>
    <row r="44" spans="1:4" x14ac:dyDescent="0.2">
      <c r="A44" s="7" t="s">
        <v>6</v>
      </c>
      <c r="B44" s="8" t="s">
        <v>22</v>
      </c>
      <c r="C44" s="12">
        <f>TRUNC(((1+1/3)/12),4)</f>
        <v>0.1111</v>
      </c>
      <c r="D44" s="13">
        <f>TRUNC($D$35*C44,2)</f>
        <v>1483.85</v>
      </c>
    </row>
    <row r="45" spans="1:4" x14ac:dyDescent="0.2">
      <c r="A45" s="170" t="s">
        <v>16</v>
      </c>
      <c r="B45" s="170"/>
      <c r="C45" s="28">
        <f>SUM(C43:C44)</f>
        <v>0.19440000000000002</v>
      </c>
      <c r="D45" s="19">
        <f>SUM(D43:D44)</f>
        <v>2596.3999999999996</v>
      </c>
    </row>
    <row r="48" spans="1:4" x14ac:dyDescent="0.2">
      <c r="A48" s="175" t="s">
        <v>23</v>
      </c>
      <c r="B48" s="175"/>
      <c r="C48" s="175"/>
      <c r="D48" s="175"/>
    </row>
    <row r="50" spans="1:4" x14ac:dyDescent="0.2">
      <c r="A50" s="6" t="s">
        <v>24</v>
      </c>
      <c r="B50" s="6" t="s">
        <v>25</v>
      </c>
      <c r="C50" s="6" t="s">
        <v>26</v>
      </c>
      <c r="D50" s="6" t="s">
        <v>3</v>
      </c>
    </row>
    <row r="51" spans="1:4" x14ac:dyDescent="0.2">
      <c r="A51" s="7" t="s">
        <v>4</v>
      </c>
      <c r="B51" s="8" t="s">
        <v>27</v>
      </c>
      <c r="C51" s="9">
        <v>0.2</v>
      </c>
      <c r="D51" s="13">
        <f>TRUNC(($D$35+$D$45)*C51,2)</f>
        <v>3190.48</v>
      </c>
    </row>
    <row r="52" spans="1:4" x14ac:dyDescent="0.2">
      <c r="A52" s="7" t="s">
        <v>6</v>
      </c>
      <c r="B52" s="8" t="s">
        <v>28</v>
      </c>
      <c r="C52" s="9">
        <v>2.5000000000000001E-2</v>
      </c>
      <c r="D52" s="13">
        <f t="shared" ref="D52:D58" si="0">TRUNC(($D$35+$D$45)*C52,2)</f>
        <v>398.81</v>
      </c>
    </row>
    <row r="53" spans="1:4" x14ac:dyDescent="0.2">
      <c r="A53" s="7" t="s">
        <v>8</v>
      </c>
      <c r="B53" s="8" t="s">
        <v>29</v>
      </c>
      <c r="C53" s="16">
        <v>0.03</v>
      </c>
      <c r="D53" s="13">
        <f t="shared" si="0"/>
        <v>478.57</v>
      </c>
    </row>
    <row r="54" spans="1:4" x14ac:dyDescent="0.2">
      <c r="A54" s="7" t="s">
        <v>10</v>
      </c>
      <c r="B54" s="8" t="s">
        <v>30</v>
      </c>
      <c r="C54" s="9">
        <v>1.4999999999999999E-2</v>
      </c>
      <c r="D54" s="13">
        <f t="shared" si="0"/>
        <v>239.28</v>
      </c>
    </row>
    <row r="55" spans="1:4" x14ac:dyDescent="0.2">
      <c r="A55" s="7" t="s">
        <v>12</v>
      </c>
      <c r="B55" s="8" t="s">
        <v>31</v>
      </c>
      <c r="C55" s="9">
        <v>0.01</v>
      </c>
      <c r="D55" s="13">
        <f t="shared" si="0"/>
        <v>159.52000000000001</v>
      </c>
    </row>
    <row r="56" spans="1:4" x14ac:dyDescent="0.2">
      <c r="A56" s="7" t="s">
        <v>32</v>
      </c>
      <c r="B56" s="8" t="s">
        <v>33</v>
      </c>
      <c r="C56" s="9">
        <v>6.0000000000000001E-3</v>
      </c>
      <c r="D56" s="13">
        <f t="shared" si="0"/>
        <v>95.71</v>
      </c>
    </row>
    <row r="57" spans="1:4" x14ac:dyDescent="0.2">
      <c r="A57" s="7" t="s">
        <v>14</v>
      </c>
      <c r="B57" s="8" t="s">
        <v>34</v>
      </c>
      <c r="C57" s="9">
        <v>2E-3</v>
      </c>
      <c r="D57" s="13">
        <f t="shared" si="0"/>
        <v>31.9</v>
      </c>
    </row>
    <row r="58" spans="1:4" x14ac:dyDescent="0.2">
      <c r="A58" s="7" t="s">
        <v>35</v>
      </c>
      <c r="B58" s="8" t="s">
        <v>36</v>
      </c>
      <c r="C58" s="9">
        <v>0.08</v>
      </c>
      <c r="D58" s="13">
        <f t="shared" si="0"/>
        <v>1276.19</v>
      </c>
    </row>
    <row r="59" spans="1:4" x14ac:dyDescent="0.2">
      <c r="A59" s="170" t="s">
        <v>37</v>
      </c>
      <c r="B59" s="170"/>
      <c r="C59" s="15">
        <f>SUM(C51:C58)</f>
        <v>0.36800000000000005</v>
      </c>
      <c r="D59" s="19">
        <f>SUM(D51:D58)</f>
        <v>5870.4600000000009</v>
      </c>
    </row>
    <row r="62" spans="1:4" x14ac:dyDescent="0.2">
      <c r="A62" s="171" t="s">
        <v>38</v>
      </c>
      <c r="B62" s="171"/>
      <c r="C62" s="171"/>
      <c r="D62" s="171"/>
    </row>
    <row r="64" spans="1:4" x14ac:dyDescent="0.2">
      <c r="A64" s="6" t="s">
        <v>39</v>
      </c>
      <c r="B64" s="172" t="s">
        <v>40</v>
      </c>
      <c r="C64" s="172"/>
      <c r="D64" s="6" t="s">
        <v>3</v>
      </c>
    </row>
    <row r="65" spans="1:5" x14ac:dyDescent="0.2">
      <c r="A65" s="7" t="s">
        <v>4</v>
      </c>
      <c r="B65" s="169" t="s">
        <v>41</v>
      </c>
      <c r="C65" s="169"/>
      <c r="D65" s="13">
        <f>IF((22*2*5.6)-(D28*0.06)&gt;0,(22*2*5.6)-(D28*0.06),0)</f>
        <v>0</v>
      </c>
    </row>
    <row r="66" spans="1:5" x14ac:dyDescent="0.2">
      <c r="A66" s="7" t="s">
        <v>6</v>
      </c>
      <c r="B66" s="169" t="s">
        <v>42</v>
      </c>
      <c r="C66" s="169"/>
      <c r="D66" s="13">
        <v>0</v>
      </c>
    </row>
    <row r="67" spans="1:5" x14ac:dyDescent="0.2">
      <c r="A67" s="7" t="s">
        <v>8</v>
      </c>
      <c r="B67" s="169" t="s">
        <v>43</v>
      </c>
      <c r="C67" s="169"/>
      <c r="D67" s="13"/>
    </row>
    <row r="68" spans="1:5" x14ac:dyDescent="0.2">
      <c r="A68" s="7" t="s">
        <v>10</v>
      </c>
      <c r="B68" s="169" t="s">
        <v>15</v>
      </c>
      <c r="C68" s="169"/>
      <c r="D68" s="13"/>
    </row>
    <row r="69" spans="1:5" x14ac:dyDescent="0.2">
      <c r="A69" s="170" t="s">
        <v>16</v>
      </c>
      <c r="B69" s="170"/>
      <c r="C69" s="170"/>
      <c r="D69" s="19">
        <f>SUM(D65:D68)</f>
        <v>0</v>
      </c>
    </row>
    <row r="72" spans="1:5" x14ac:dyDescent="0.2">
      <c r="A72" s="171" t="s">
        <v>44</v>
      </c>
      <c r="B72" s="171"/>
      <c r="C72" s="171"/>
      <c r="D72" s="171"/>
    </row>
    <row r="74" spans="1:5" x14ac:dyDescent="0.2">
      <c r="A74" s="6">
        <v>2</v>
      </c>
      <c r="B74" s="172" t="s">
        <v>45</v>
      </c>
      <c r="C74" s="172"/>
      <c r="D74" s="6" t="s">
        <v>3</v>
      </c>
    </row>
    <row r="75" spans="1:5" x14ac:dyDescent="0.2">
      <c r="A75" s="7" t="s">
        <v>19</v>
      </c>
      <c r="B75" s="169" t="s">
        <v>20</v>
      </c>
      <c r="C75" s="169"/>
      <c r="D75" s="14">
        <f>D45</f>
        <v>2596.3999999999996</v>
      </c>
    </row>
    <row r="76" spans="1:5" x14ac:dyDescent="0.2">
      <c r="A76" s="7" t="s">
        <v>24</v>
      </c>
      <c r="B76" s="169" t="s">
        <v>25</v>
      </c>
      <c r="C76" s="169"/>
      <c r="D76" s="14">
        <f>D59</f>
        <v>5870.4600000000009</v>
      </c>
    </row>
    <row r="77" spans="1:5" x14ac:dyDescent="0.2">
      <c r="A77" s="7" t="s">
        <v>39</v>
      </c>
      <c r="B77" s="169" t="s">
        <v>40</v>
      </c>
      <c r="C77" s="169"/>
      <c r="D77" s="14">
        <f>D69</f>
        <v>0</v>
      </c>
    </row>
    <row r="78" spans="1:5" x14ac:dyDescent="0.2">
      <c r="A78" s="170" t="s">
        <v>16</v>
      </c>
      <c r="B78" s="170"/>
      <c r="C78" s="170"/>
      <c r="D78" s="19">
        <f>SUM(D75:D77)</f>
        <v>8466.86</v>
      </c>
    </row>
    <row r="79" spans="1:5" x14ac:dyDescent="0.2">
      <c r="A79" s="4"/>
      <c r="E79" s="18"/>
    </row>
    <row r="81" spans="1:5" x14ac:dyDescent="0.2">
      <c r="A81" s="173" t="s">
        <v>46</v>
      </c>
      <c r="B81" s="173"/>
      <c r="C81" s="173"/>
      <c r="D81" s="173"/>
      <c r="E81" s="17"/>
    </row>
    <row r="82" spans="1:5" ht="12.75" customHeight="1" x14ac:dyDescent="0.2">
      <c r="E82" s="18"/>
    </row>
    <row r="83" spans="1:5" x14ac:dyDescent="0.2">
      <c r="A83" s="6">
        <v>3</v>
      </c>
      <c r="B83" s="172" t="s">
        <v>47</v>
      </c>
      <c r="C83" s="172"/>
      <c r="D83" s="6" t="s">
        <v>3</v>
      </c>
    </row>
    <row r="84" spans="1:5" x14ac:dyDescent="0.2">
      <c r="A84" s="7" t="s">
        <v>4</v>
      </c>
      <c r="B84" s="10" t="s">
        <v>48</v>
      </c>
      <c r="C84" s="9">
        <f>TRUNC(((1/12)*5%),4)</f>
        <v>4.1000000000000003E-3</v>
      </c>
      <c r="D84" s="13">
        <f>TRUNC($D$35*C84,2)</f>
        <v>54.75</v>
      </c>
    </row>
    <row r="85" spans="1:5" x14ac:dyDescent="0.2">
      <c r="A85" s="7" t="s">
        <v>6</v>
      </c>
      <c r="B85" s="10" t="s">
        <v>49</v>
      </c>
      <c r="C85" s="9">
        <v>0.08</v>
      </c>
      <c r="D85" s="13">
        <f>TRUNC(D84*C85,2)</f>
        <v>4.38</v>
      </c>
    </row>
    <row r="86" spans="1:5" x14ac:dyDescent="0.2">
      <c r="A86" s="7" t="s">
        <v>8</v>
      </c>
      <c r="B86" s="10" t="s">
        <v>98</v>
      </c>
      <c r="C86" s="9">
        <f>TRUNC(8%*5%*40%,4)</f>
        <v>1.6000000000000001E-3</v>
      </c>
      <c r="D86" s="13">
        <f>TRUNC($D$35*C86,2)</f>
        <v>21.36</v>
      </c>
    </row>
    <row r="87" spans="1:5" x14ac:dyDescent="0.2">
      <c r="A87" s="7" t="s">
        <v>10</v>
      </c>
      <c r="B87" s="10" t="s">
        <v>50</v>
      </c>
      <c r="C87" s="9">
        <f>TRUNC(((7/30)/12)*95%,4)</f>
        <v>1.84E-2</v>
      </c>
      <c r="D87" s="13">
        <f>TRUNC($D$35*C87,2)</f>
        <v>245.75</v>
      </c>
    </row>
    <row r="88" spans="1:5" ht="25.5" x14ac:dyDescent="0.2">
      <c r="A88" s="7" t="s">
        <v>12</v>
      </c>
      <c r="B88" s="10" t="s">
        <v>93</v>
      </c>
      <c r="C88" s="9">
        <f>C59</f>
        <v>0.36800000000000005</v>
      </c>
      <c r="D88" s="13">
        <f>TRUNC(D87*C88,2)</f>
        <v>90.43</v>
      </c>
    </row>
    <row r="89" spans="1:5" x14ac:dyDescent="0.2">
      <c r="A89" s="7" t="s">
        <v>32</v>
      </c>
      <c r="B89" s="10" t="s">
        <v>99</v>
      </c>
      <c r="C89" s="9">
        <f>TRUNC(8%*95%*40%,4)</f>
        <v>3.04E-2</v>
      </c>
      <c r="D89" s="13">
        <f t="shared" ref="D89" si="1">TRUNC($D$35*C89,2)</f>
        <v>406.02</v>
      </c>
    </row>
    <row r="90" spans="1:5" x14ac:dyDescent="0.2">
      <c r="A90" s="176" t="s">
        <v>16</v>
      </c>
      <c r="B90" s="177"/>
      <c r="C90" s="178"/>
      <c r="D90" s="19">
        <f>SUM(D84:D89)</f>
        <v>822.69</v>
      </c>
    </row>
    <row r="93" spans="1:5" x14ac:dyDescent="0.2">
      <c r="A93" s="173" t="s">
        <v>51</v>
      </c>
      <c r="B93" s="173"/>
      <c r="C93" s="173"/>
      <c r="D93" s="173"/>
    </row>
    <row r="96" spans="1:5" x14ac:dyDescent="0.2">
      <c r="A96" s="171" t="s">
        <v>77</v>
      </c>
      <c r="B96" s="171"/>
      <c r="C96" s="171"/>
      <c r="D96" s="171"/>
    </row>
    <row r="97" spans="1:6" x14ac:dyDescent="0.2">
      <c r="A97" s="3"/>
    </row>
    <row r="98" spans="1:6" x14ac:dyDescent="0.2">
      <c r="A98" s="6" t="s">
        <v>52</v>
      </c>
      <c r="B98" s="172" t="s">
        <v>78</v>
      </c>
      <c r="C98" s="172"/>
      <c r="D98" s="6" t="s">
        <v>3</v>
      </c>
    </row>
    <row r="99" spans="1:6" x14ac:dyDescent="0.2">
      <c r="A99" s="7" t="s">
        <v>4</v>
      </c>
      <c r="B99" s="8" t="s">
        <v>79</v>
      </c>
      <c r="C99" s="9">
        <f>TRUNC(((1+1/3)/12)/12,4)*0</f>
        <v>0</v>
      </c>
      <c r="D99" s="13">
        <f>TRUNC(($D$35+$D$78+$D$90)*C99,2)</f>
        <v>0</v>
      </c>
    </row>
    <row r="100" spans="1:6" x14ac:dyDescent="0.2">
      <c r="A100" s="7" t="s">
        <v>6</v>
      </c>
      <c r="B100" s="8" t="s">
        <v>80</v>
      </c>
      <c r="C100" s="9">
        <f>TRUNC(((2/30)/12),4)*0</f>
        <v>0</v>
      </c>
      <c r="D100" s="13">
        <f t="shared" ref="D100:D104" si="2">TRUNC(($D$35+$D$78+$D$90)*C100,2)</f>
        <v>0</v>
      </c>
    </row>
    <row r="101" spans="1:6" x14ac:dyDescent="0.2">
      <c r="A101" s="7" t="s">
        <v>8</v>
      </c>
      <c r="B101" s="8" t="s">
        <v>81</v>
      </c>
      <c r="C101" s="9">
        <f>TRUNC(((5/30)/12)*2%,4)*0</f>
        <v>0</v>
      </c>
      <c r="D101" s="13">
        <f t="shared" si="2"/>
        <v>0</v>
      </c>
    </row>
    <row r="102" spans="1:6" x14ac:dyDescent="0.2">
      <c r="A102" s="7" t="s">
        <v>10</v>
      </c>
      <c r="B102" s="8" t="s">
        <v>82</v>
      </c>
      <c r="C102" s="9">
        <f>TRUNC(((15/30)/12)*8%,4)*0</f>
        <v>0</v>
      </c>
      <c r="D102" s="13">
        <f t="shared" si="2"/>
        <v>0</v>
      </c>
    </row>
    <row r="103" spans="1:6" x14ac:dyDescent="0.2">
      <c r="A103" s="7" t="s">
        <v>12</v>
      </c>
      <c r="B103" s="8" t="s">
        <v>83</v>
      </c>
      <c r="C103" s="9">
        <f>((1+1/3)/12)*3%*(4/12)</f>
        <v>1.1111111111111109E-3</v>
      </c>
      <c r="D103" s="13">
        <f t="shared" si="2"/>
        <v>25.16</v>
      </c>
    </row>
    <row r="104" spans="1:6" x14ac:dyDescent="0.2">
      <c r="A104" s="7" t="s">
        <v>32</v>
      </c>
      <c r="B104" s="8" t="s">
        <v>84</v>
      </c>
      <c r="C104" s="9"/>
      <c r="D104" s="13">
        <f t="shared" si="2"/>
        <v>0</v>
      </c>
    </row>
    <row r="105" spans="1:6" x14ac:dyDescent="0.2">
      <c r="A105" s="170" t="s">
        <v>37</v>
      </c>
      <c r="B105" s="170"/>
      <c r="C105" s="170"/>
      <c r="D105" s="19">
        <f>SUM(D99:D104)</f>
        <v>25.16</v>
      </c>
      <c r="E105" s="17"/>
      <c r="F105" s="17"/>
    </row>
    <row r="108" spans="1:6" x14ac:dyDescent="0.2">
      <c r="A108" s="171" t="s">
        <v>85</v>
      </c>
      <c r="B108" s="171"/>
      <c r="C108" s="171"/>
      <c r="D108" s="171"/>
    </row>
    <row r="109" spans="1:6" x14ac:dyDescent="0.2">
      <c r="A109" s="3"/>
    </row>
    <row r="110" spans="1:6" x14ac:dyDescent="0.2">
      <c r="A110" s="6" t="s">
        <v>53</v>
      </c>
      <c r="B110" s="172" t="s">
        <v>86</v>
      </c>
      <c r="C110" s="172"/>
      <c r="D110" s="6" t="s">
        <v>3</v>
      </c>
    </row>
    <row r="111" spans="1:6" x14ac:dyDescent="0.2">
      <c r="A111" s="7" t="s">
        <v>4</v>
      </c>
      <c r="B111" s="179" t="s">
        <v>87</v>
      </c>
      <c r="C111" s="180"/>
      <c r="D111" s="13">
        <f>((D35+D78+D90)/220)*22*0</f>
        <v>0</v>
      </c>
    </row>
    <row r="112" spans="1:6" x14ac:dyDescent="0.2">
      <c r="A112" s="170" t="s">
        <v>16</v>
      </c>
      <c r="B112" s="170"/>
      <c r="C112" s="170"/>
      <c r="D112" s="19">
        <f>SUM(D111)</f>
        <v>0</v>
      </c>
    </row>
    <row r="115" spans="1:4" x14ac:dyDescent="0.2">
      <c r="A115" s="171" t="s">
        <v>54</v>
      </c>
      <c r="B115" s="171"/>
      <c r="C115" s="171"/>
      <c r="D115" s="171"/>
    </row>
    <row r="116" spans="1:4" x14ac:dyDescent="0.2">
      <c r="A116" s="3"/>
    </row>
    <row r="117" spans="1:4" x14ac:dyDescent="0.2">
      <c r="A117" s="6">
        <v>4</v>
      </c>
      <c r="B117" s="170" t="s">
        <v>55</v>
      </c>
      <c r="C117" s="170"/>
      <c r="D117" s="6" t="s">
        <v>3</v>
      </c>
    </row>
    <row r="118" spans="1:4" x14ac:dyDescent="0.2">
      <c r="A118" s="7" t="s">
        <v>52</v>
      </c>
      <c r="B118" s="169" t="s">
        <v>78</v>
      </c>
      <c r="C118" s="169"/>
      <c r="D118" s="14">
        <f>D105</f>
        <v>25.16</v>
      </c>
    </row>
    <row r="119" spans="1:4" x14ac:dyDescent="0.2">
      <c r="A119" s="7" t="s">
        <v>53</v>
      </c>
      <c r="B119" s="169" t="s">
        <v>86</v>
      </c>
      <c r="C119" s="169"/>
      <c r="D119" s="14">
        <f>D112</f>
        <v>0</v>
      </c>
    </row>
    <row r="120" spans="1:4" x14ac:dyDescent="0.2">
      <c r="A120" s="170" t="s">
        <v>16</v>
      </c>
      <c r="B120" s="170"/>
      <c r="C120" s="170"/>
      <c r="D120" s="19">
        <f>SUM(D118:D119)</f>
        <v>25.16</v>
      </c>
    </row>
    <row r="123" spans="1:4" x14ac:dyDescent="0.2">
      <c r="A123" s="173" t="s">
        <v>56</v>
      </c>
      <c r="B123" s="173"/>
      <c r="C123" s="173"/>
      <c r="D123" s="173"/>
    </row>
    <row r="125" spans="1:4" x14ac:dyDescent="0.2">
      <c r="A125" s="6">
        <v>5</v>
      </c>
      <c r="B125" s="181" t="s">
        <v>57</v>
      </c>
      <c r="C125" s="181"/>
      <c r="D125" s="6" t="s">
        <v>3</v>
      </c>
    </row>
    <row r="126" spans="1:4" x14ac:dyDescent="0.2">
      <c r="A126" s="7" t="s">
        <v>4</v>
      </c>
      <c r="B126" s="8" t="s">
        <v>58</v>
      </c>
      <c r="C126" s="8"/>
      <c r="D126" s="13">
        <v>0.17</v>
      </c>
    </row>
    <row r="127" spans="1:4" x14ac:dyDescent="0.2">
      <c r="A127" s="7" t="s">
        <v>6</v>
      </c>
      <c r="B127" s="8" t="s">
        <v>59</v>
      </c>
      <c r="C127" s="8"/>
      <c r="D127" s="13"/>
    </row>
    <row r="128" spans="1:4" x14ac:dyDescent="0.2">
      <c r="A128" s="7" t="s">
        <v>8</v>
      </c>
      <c r="B128" s="8" t="s">
        <v>60</v>
      </c>
      <c r="C128" s="8"/>
      <c r="D128" s="13">
        <v>2.58</v>
      </c>
    </row>
    <row r="129" spans="1:4" x14ac:dyDescent="0.2">
      <c r="A129" s="7" t="s">
        <v>10</v>
      </c>
      <c r="B129" s="8" t="s">
        <v>113</v>
      </c>
      <c r="C129" s="8"/>
      <c r="D129" s="13">
        <v>16.45</v>
      </c>
    </row>
    <row r="130" spans="1:4" x14ac:dyDescent="0.2">
      <c r="A130" s="36" t="s">
        <v>12</v>
      </c>
      <c r="B130" s="35" t="s">
        <v>114</v>
      </c>
      <c r="C130" s="35"/>
      <c r="D130" s="13">
        <v>525.22</v>
      </c>
    </row>
    <row r="131" spans="1:4" x14ac:dyDescent="0.2">
      <c r="A131" s="170" t="s">
        <v>37</v>
      </c>
      <c r="B131" s="170"/>
      <c r="C131" s="170"/>
      <c r="D131" s="20">
        <f>SUM(D126:D130)</f>
        <v>544.42000000000007</v>
      </c>
    </row>
    <row r="134" spans="1:4" x14ac:dyDescent="0.2">
      <c r="A134" s="173" t="s">
        <v>61</v>
      </c>
      <c r="B134" s="173"/>
      <c r="C134" s="173"/>
      <c r="D134" s="173"/>
    </row>
    <row r="136" spans="1:4" x14ac:dyDescent="0.2">
      <c r="A136" s="6">
        <v>6</v>
      </c>
      <c r="B136" s="11" t="s">
        <v>62</v>
      </c>
      <c r="C136" s="6" t="s">
        <v>26</v>
      </c>
      <c r="D136" s="6" t="s">
        <v>3</v>
      </c>
    </row>
    <row r="137" spans="1:4" x14ac:dyDescent="0.2">
      <c r="A137" s="7" t="s">
        <v>4</v>
      </c>
      <c r="B137" s="8" t="s">
        <v>63</v>
      </c>
      <c r="C137" s="9">
        <v>0.05</v>
      </c>
      <c r="D137" s="14">
        <f>D157*C137</f>
        <v>1160.7579999999998</v>
      </c>
    </row>
    <row r="138" spans="1:4" x14ac:dyDescent="0.2">
      <c r="A138" s="7" t="s">
        <v>6</v>
      </c>
      <c r="B138" s="8" t="s">
        <v>64</v>
      </c>
      <c r="C138" s="9">
        <v>0.06</v>
      </c>
      <c r="D138" s="13">
        <f>(D157+D137)*C138</f>
        <v>1462.5550799999999</v>
      </c>
    </row>
    <row r="139" spans="1:4" x14ac:dyDescent="0.2">
      <c r="A139" s="7" t="s">
        <v>8</v>
      </c>
      <c r="B139" s="8" t="s">
        <v>65</v>
      </c>
      <c r="C139" s="12">
        <f>SUM(C140:C145)</f>
        <v>8.6499999999999994E-2</v>
      </c>
      <c r="D139" s="13">
        <f>(D157+D137+D138)*C139/(1-C139)</f>
        <v>2446.6643912643672</v>
      </c>
    </row>
    <row r="140" spans="1:4" x14ac:dyDescent="0.2">
      <c r="A140" s="7"/>
      <c r="B140" s="8" t="s">
        <v>66</v>
      </c>
      <c r="C140" s="9"/>
      <c r="D140" s="14">
        <f>$D$159*C140</f>
        <v>0</v>
      </c>
    </row>
    <row r="141" spans="1:4" x14ac:dyDescent="0.2">
      <c r="A141" s="7"/>
      <c r="B141" s="25" t="s">
        <v>95</v>
      </c>
      <c r="C141" s="9">
        <v>6.4999999999999997E-3</v>
      </c>
      <c r="D141" s="14">
        <f t="shared" ref="D141:D142" si="3">$D$159*C141</f>
        <v>183.85341</v>
      </c>
    </row>
    <row r="142" spans="1:4" x14ac:dyDescent="0.2">
      <c r="A142" s="7"/>
      <c r="B142" s="25" t="s">
        <v>96</v>
      </c>
      <c r="C142" s="9">
        <v>0.03</v>
      </c>
      <c r="D142" s="14">
        <f t="shared" si="3"/>
        <v>848.55419999999992</v>
      </c>
    </row>
    <row r="143" spans="1:4" x14ac:dyDescent="0.2">
      <c r="A143" s="7"/>
      <c r="B143" s="8" t="s">
        <v>67</v>
      </c>
      <c r="C143" s="7"/>
      <c r="D143" s="14">
        <f t="shared" ref="D143:D144" si="4">$D$159*C143</f>
        <v>0</v>
      </c>
    </row>
    <row r="144" spans="1:4" x14ac:dyDescent="0.2">
      <c r="A144" s="7"/>
      <c r="B144" s="8" t="s">
        <v>68</v>
      </c>
      <c r="C144" s="9"/>
      <c r="D144" s="14">
        <f t="shared" si="4"/>
        <v>0</v>
      </c>
    </row>
    <row r="145" spans="1:4" x14ac:dyDescent="0.2">
      <c r="A145" s="7"/>
      <c r="B145" s="25" t="s">
        <v>97</v>
      </c>
      <c r="C145" s="9">
        <v>0.05</v>
      </c>
      <c r="D145" s="14">
        <f t="shared" ref="D145" si="5">$D$159*C145</f>
        <v>1414.2570000000001</v>
      </c>
    </row>
    <row r="146" spans="1:4" ht="13.5" x14ac:dyDescent="0.2">
      <c r="A146" s="176" t="s">
        <v>37</v>
      </c>
      <c r="B146" s="177"/>
      <c r="C146" s="21">
        <f>(1+C138)*(1+C137)/(1-C139)-1</f>
        <v>0.21839080459770144</v>
      </c>
      <c r="D146" s="19">
        <f>SUM(D137:D139)</f>
        <v>5069.9774712643666</v>
      </c>
    </row>
    <row r="149" spans="1:4" x14ac:dyDescent="0.2">
      <c r="A149" s="173" t="s">
        <v>109</v>
      </c>
      <c r="B149" s="173"/>
      <c r="C149" s="173"/>
      <c r="D149" s="173"/>
    </row>
    <row r="151" spans="1:4" x14ac:dyDescent="0.2">
      <c r="A151" s="6"/>
      <c r="B151" s="170" t="s">
        <v>69</v>
      </c>
      <c r="C151" s="170"/>
      <c r="D151" s="6" t="s">
        <v>3</v>
      </c>
    </row>
    <row r="152" spans="1:4" x14ac:dyDescent="0.2">
      <c r="A152" s="6" t="s">
        <v>4</v>
      </c>
      <c r="B152" s="169" t="s">
        <v>1</v>
      </c>
      <c r="C152" s="169"/>
      <c r="D152" s="22">
        <f>D35</f>
        <v>13356.03</v>
      </c>
    </row>
    <row r="153" spans="1:4" x14ac:dyDescent="0.2">
      <c r="A153" s="6" t="s">
        <v>6</v>
      </c>
      <c r="B153" s="169" t="s">
        <v>17</v>
      </c>
      <c r="C153" s="169"/>
      <c r="D153" s="22">
        <f>D78</f>
        <v>8466.86</v>
      </c>
    </row>
    <row r="154" spans="1:4" x14ac:dyDescent="0.2">
      <c r="A154" s="6" t="s">
        <v>8</v>
      </c>
      <c r="B154" s="169" t="s">
        <v>46</v>
      </c>
      <c r="C154" s="169"/>
      <c r="D154" s="22">
        <f>D90</f>
        <v>822.69</v>
      </c>
    </row>
    <row r="155" spans="1:4" x14ac:dyDescent="0.2">
      <c r="A155" s="6" t="s">
        <v>10</v>
      </c>
      <c r="B155" s="169" t="s">
        <v>51</v>
      </c>
      <c r="C155" s="169"/>
      <c r="D155" s="22">
        <f>D120</f>
        <v>25.16</v>
      </c>
    </row>
    <row r="156" spans="1:4" x14ac:dyDescent="0.2">
      <c r="A156" s="6" t="s">
        <v>12</v>
      </c>
      <c r="B156" s="169" t="s">
        <v>56</v>
      </c>
      <c r="C156" s="169"/>
      <c r="D156" s="22">
        <f>D131</f>
        <v>544.42000000000007</v>
      </c>
    </row>
    <row r="157" spans="1:4" x14ac:dyDescent="0.2">
      <c r="A157" s="170" t="s">
        <v>94</v>
      </c>
      <c r="B157" s="170"/>
      <c r="C157" s="170"/>
      <c r="D157" s="23">
        <f>SUM(D152:D156)</f>
        <v>23215.159999999996</v>
      </c>
    </row>
    <row r="158" spans="1:4" x14ac:dyDescent="0.2">
      <c r="A158" s="6" t="s">
        <v>32</v>
      </c>
      <c r="B158" s="169" t="s">
        <v>70</v>
      </c>
      <c r="C158" s="169"/>
      <c r="D158" s="24">
        <f>D146</f>
        <v>5069.9774712643666</v>
      </c>
    </row>
    <row r="159" spans="1:4" x14ac:dyDescent="0.2">
      <c r="A159" s="170" t="s">
        <v>71</v>
      </c>
      <c r="B159" s="170"/>
      <c r="C159" s="170"/>
      <c r="D159" s="23">
        <f>ROUND(SUM(D157:D158),2)</f>
        <v>28285.14</v>
      </c>
    </row>
  </sheetData>
  <mergeCells count="72">
    <mergeCell ref="A5:D5"/>
    <mergeCell ref="A14:B14"/>
    <mergeCell ref="A15:B15"/>
    <mergeCell ref="C20:D20"/>
    <mergeCell ref="A45:B45"/>
    <mergeCell ref="B30:C30"/>
    <mergeCell ref="C19:D19"/>
    <mergeCell ref="C21:D21"/>
    <mergeCell ref="C22:D22"/>
    <mergeCell ref="C23:D23"/>
    <mergeCell ref="A25:D25"/>
    <mergeCell ref="A38:D38"/>
    <mergeCell ref="B158:C158"/>
    <mergeCell ref="A159:C159"/>
    <mergeCell ref="A134:D134"/>
    <mergeCell ref="B111:C111"/>
    <mergeCell ref="B119:C119"/>
    <mergeCell ref="A120:C120"/>
    <mergeCell ref="A123:D123"/>
    <mergeCell ref="B125:C125"/>
    <mergeCell ref="A131:C131"/>
    <mergeCell ref="A146:B146"/>
    <mergeCell ref="A149:D149"/>
    <mergeCell ref="B151:C151"/>
    <mergeCell ref="B152:C152"/>
    <mergeCell ref="B153:C153"/>
    <mergeCell ref="B154:C154"/>
    <mergeCell ref="B155:C155"/>
    <mergeCell ref="B110:C110"/>
    <mergeCell ref="A112:C112"/>
    <mergeCell ref="A115:D115"/>
    <mergeCell ref="B117:C117"/>
    <mergeCell ref="B118:C118"/>
    <mergeCell ref="A96:D96"/>
    <mergeCell ref="B98:C98"/>
    <mergeCell ref="B67:C67"/>
    <mergeCell ref="B68:C68"/>
    <mergeCell ref="A69:C69"/>
    <mergeCell ref="A93:D93"/>
    <mergeCell ref="A90:C90"/>
    <mergeCell ref="A1:D1"/>
    <mergeCell ref="A48:D48"/>
    <mergeCell ref="A59:B59"/>
    <mergeCell ref="A40:D40"/>
    <mergeCell ref="B42:C42"/>
    <mergeCell ref="B31:C31"/>
    <mergeCell ref="B32:C32"/>
    <mergeCell ref="B34:C34"/>
    <mergeCell ref="B33:C33"/>
    <mergeCell ref="A35:C35"/>
    <mergeCell ref="A17:D17"/>
    <mergeCell ref="B27:C27"/>
    <mergeCell ref="B28:C28"/>
    <mergeCell ref="B29:C29"/>
    <mergeCell ref="A3:D3"/>
    <mergeCell ref="A12:D12"/>
    <mergeCell ref="B156:C156"/>
    <mergeCell ref="A157:C157"/>
    <mergeCell ref="A62:D62"/>
    <mergeCell ref="B64:C64"/>
    <mergeCell ref="B65:C65"/>
    <mergeCell ref="B66:C66"/>
    <mergeCell ref="A72:D72"/>
    <mergeCell ref="B74:C74"/>
    <mergeCell ref="B75:C75"/>
    <mergeCell ref="B76:C76"/>
    <mergeCell ref="B77:C77"/>
    <mergeCell ref="A78:C78"/>
    <mergeCell ref="A81:D81"/>
    <mergeCell ref="B83:C83"/>
    <mergeCell ref="A105:C105"/>
    <mergeCell ref="A108:D108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1"/>
  <sheetViews>
    <sheetView zoomScaleNormal="100" workbookViewId="0">
      <selection activeCell="B12" sqref="B12"/>
    </sheetView>
  </sheetViews>
  <sheetFormatPr defaultColWidth="8" defaultRowHeight="12.75" x14ac:dyDescent="0.2"/>
  <cols>
    <col min="1" max="1" width="58.85546875" style="157" customWidth="1"/>
    <col min="2" max="2" width="29.140625" style="157" customWidth="1"/>
    <col min="3" max="3" width="10.140625" style="157" customWidth="1"/>
    <col min="4" max="5" width="8" style="157"/>
    <col min="6" max="6" width="13.140625" style="157" customWidth="1"/>
    <col min="7" max="1024" width="8" style="157"/>
    <col min="1025" max="16384" width="8" style="75"/>
  </cols>
  <sheetData>
    <row r="1" spans="1:16" ht="79.5" customHeight="1" x14ac:dyDescent="0.2">
      <c r="A1" s="196"/>
      <c r="B1" s="196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</row>
    <row r="2" spans="1:16" ht="24" customHeight="1" x14ac:dyDescent="0.25">
      <c r="A2" s="197" t="s">
        <v>222</v>
      </c>
      <c r="B2" s="197"/>
    </row>
    <row r="3" spans="1:16" ht="18" x14ac:dyDescent="0.25">
      <c r="A3" s="166"/>
      <c r="B3" s="166"/>
    </row>
    <row r="4" spans="1:16" ht="28.5" customHeight="1" x14ac:dyDescent="0.2"/>
    <row r="5" spans="1:16" s="158" customFormat="1" ht="18" customHeight="1" x14ac:dyDescent="0.25">
      <c r="A5" s="165" t="s">
        <v>221</v>
      </c>
      <c r="B5" s="164">
        <f>'Deslocamento 1 município'!R39</f>
        <v>1198.0679998258447</v>
      </c>
    </row>
    <row r="6" spans="1:16" s="158" customFormat="1" ht="18" customHeight="1" x14ac:dyDescent="0.25">
      <c r="A6" s="165" t="s">
        <v>220</v>
      </c>
      <c r="B6" s="164">
        <f>'Deslocamento 2 municípios'!R47</f>
        <v>1258.3349957854407</v>
      </c>
    </row>
    <row r="7" spans="1:16" s="158" customFormat="1" ht="18" customHeight="1" x14ac:dyDescent="0.25">
      <c r="A7" s="165" t="s">
        <v>219</v>
      </c>
      <c r="B7" s="164">
        <f>'Deslocamento 3 municípios'!R44</f>
        <v>1250.5039385554139</v>
      </c>
    </row>
    <row r="8" spans="1:16" s="158" customFormat="1" ht="18" customHeight="1" x14ac:dyDescent="0.25">
      <c r="A8" s="165" t="s">
        <v>218</v>
      </c>
      <c r="B8" s="164">
        <f>'Deslocamento 4 municípios'!R40</f>
        <v>1235.2752038266583</v>
      </c>
    </row>
    <row r="9" spans="1:16" s="158" customFormat="1" ht="18" customHeight="1" x14ac:dyDescent="0.25">
      <c r="A9" s="165" t="s">
        <v>217</v>
      </c>
      <c r="B9" s="164">
        <f>'Deslocamento 5 municípios'!R37</f>
        <v>1224.2341227695676</v>
      </c>
    </row>
    <row r="10" spans="1:16" s="158" customFormat="1" ht="18" customHeight="1" x14ac:dyDescent="0.25">
      <c r="A10" s="163"/>
      <c r="B10" s="162">
        <f>SUM(B5:B9)</f>
        <v>6166.416260762925</v>
      </c>
    </row>
    <row r="11" spans="1:16" s="158" customFormat="1" ht="48" customHeight="1" x14ac:dyDescent="0.25">
      <c r="A11" s="161" t="s">
        <v>216</v>
      </c>
      <c r="B11" s="160">
        <f>ROUND(B10/5,2)</f>
        <v>1233.28</v>
      </c>
      <c r="C11" s="159"/>
    </row>
  </sheetData>
  <mergeCells count="2">
    <mergeCell ref="A1:B1"/>
    <mergeCell ref="A2:B2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BreakPreview" zoomScaleNormal="100" zoomScaleSheetLayoutView="100" workbookViewId="0">
      <selection activeCell="G5" sqref="G5"/>
    </sheetView>
  </sheetViews>
  <sheetFormatPr defaultRowHeight="12.75" x14ac:dyDescent="0.2"/>
  <cols>
    <col min="1" max="1" width="12.7109375" style="1" customWidth="1"/>
    <col min="2" max="2" width="24.7109375" style="1" customWidth="1"/>
    <col min="3" max="7" width="12.7109375" style="1" customWidth="1"/>
    <col min="8" max="16384" width="9.140625" style="1"/>
  </cols>
  <sheetData>
    <row r="1" spans="1:7" ht="15.75" x14ac:dyDescent="0.25">
      <c r="A1" s="202" t="s">
        <v>154</v>
      </c>
      <c r="B1" s="202"/>
      <c r="C1" s="202"/>
      <c r="D1" s="202"/>
      <c r="E1" s="202"/>
      <c r="F1" s="202"/>
      <c r="G1" s="202"/>
    </row>
    <row r="3" spans="1:7" x14ac:dyDescent="0.2">
      <c r="A3" s="42" t="s">
        <v>165</v>
      </c>
    </row>
    <row r="4" spans="1:7" s="56" customFormat="1" ht="25.5" x14ac:dyDescent="0.25">
      <c r="A4" s="67" t="s">
        <v>155</v>
      </c>
      <c r="B4" s="67" t="s">
        <v>156</v>
      </c>
      <c r="C4" s="67" t="s">
        <v>157</v>
      </c>
      <c r="D4" s="67" t="s">
        <v>158</v>
      </c>
      <c r="E4" s="67" t="s">
        <v>159</v>
      </c>
      <c r="F4" s="67" t="s">
        <v>160</v>
      </c>
      <c r="G4" s="67" t="s">
        <v>161</v>
      </c>
    </row>
    <row r="5" spans="1:7" s="57" customFormat="1" ht="25.5" x14ac:dyDescent="0.25">
      <c r="A5" s="73">
        <v>1</v>
      </c>
      <c r="B5" s="60" t="str">
        <f>engcivarq!A15</f>
        <v>Arquiteto ou Engenheiro Civil 40 horas semanais</v>
      </c>
      <c r="C5" s="61">
        <f>engcivarq!D159</f>
        <v>28285.14</v>
      </c>
      <c r="D5" s="73">
        <f>engcivarq!D15</f>
        <v>5</v>
      </c>
      <c r="E5" s="61">
        <f>C5*D5</f>
        <v>141425.70000000001</v>
      </c>
      <c r="F5" s="61">
        <f>E5*12</f>
        <v>1697108.4000000001</v>
      </c>
      <c r="G5" s="61">
        <f>F5*2</f>
        <v>3394216.8000000003</v>
      </c>
    </row>
    <row r="6" spans="1:7" s="57" customFormat="1" ht="25.5" x14ac:dyDescent="0.25">
      <c r="A6" s="73">
        <v>2</v>
      </c>
      <c r="B6" s="60" t="str">
        <f>engmec!A15</f>
        <v>Engenheiro Mecânico 40 horas semanais</v>
      </c>
      <c r="C6" s="61">
        <f>engmec!D159</f>
        <v>28285.14</v>
      </c>
      <c r="D6" s="73">
        <f>engmec!D15</f>
        <v>1</v>
      </c>
      <c r="E6" s="61">
        <f t="shared" ref="E6:E7" si="0">C6*D6</f>
        <v>28285.14</v>
      </c>
      <c r="F6" s="61">
        <f t="shared" ref="F6:F7" si="1">E6*12</f>
        <v>339421.68</v>
      </c>
      <c r="G6" s="61">
        <f t="shared" ref="G6:G7" si="2">F6*2</f>
        <v>678843.36</v>
      </c>
    </row>
    <row r="7" spans="1:7" s="57" customFormat="1" ht="25.5" x14ac:dyDescent="0.25">
      <c r="A7" s="73">
        <v>3</v>
      </c>
      <c r="B7" s="60" t="str">
        <f>engeletr!A15</f>
        <v>Engenheiro Eletricista 40 horas semanais</v>
      </c>
      <c r="C7" s="61">
        <f>engeletr!D159</f>
        <v>28285.14</v>
      </c>
      <c r="D7" s="73">
        <f>engeletr!D15</f>
        <v>3</v>
      </c>
      <c r="E7" s="61">
        <f t="shared" si="0"/>
        <v>84855.42</v>
      </c>
      <c r="F7" s="61">
        <f t="shared" si="1"/>
        <v>1018265.04</v>
      </c>
      <c r="G7" s="61">
        <f t="shared" si="2"/>
        <v>2036530.08</v>
      </c>
    </row>
    <row r="8" spans="1:7" x14ac:dyDescent="0.2">
      <c r="A8" s="59"/>
      <c r="B8" s="59"/>
      <c r="C8" s="62" t="s">
        <v>162</v>
      </c>
      <c r="D8" s="74">
        <f>SUM(D5:D7)</f>
        <v>9</v>
      </c>
      <c r="E8" s="63">
        <f>SUM(E5:E7)</f>
        <v>254566.26</v>
      </c>
      <c r="F8" s="63">
        <f>SUM(F5:F7)</f>
        <v>3054795.12</v>
      </c>
      <c r="G8" s="72">
        <f>SUM(G5:G7)</f>
        <v>6109590.2400000002</v>
      </c>
    </row>
    <row r="9" spans="1:7" x14ac:dyDescent="0.2">
      <c r="A9" s="66" t="s">
        <v>163</v>
      </c>
      <c r="B9" s="59"/>
      <c r="C9" s="59"/>
      <c r="E9" s="17"/>
      <c r="F9" s="17"/>
      <c r="G9" s="17"/>
    </row>
    <row r="10" spans="1:7" ht="25.5" x14ac:dyDescent="0.2">
      <c r="A10" s="67" t="s">
        <v>155</v>
      </c>
      <c r="B10" s="68" t="s">
        <v>156</v>
      </c>
      <c r="C10" s="69"/>
      <c r="D10" s="70"/>
      <c r="E10" s="67" t="s">
        <v>145</v>
      </c>
      <c r="F10" s="67" t="s">
        <v>158</v>
      </c>
      <c r="G10" s="67" t="s">
        <v>161</v>
      </c>
    </row>
    <row r="11" spans="1:7" x14ac:dyDescent="0.2">
      <c r="A11" s="74">
        <v>4</v>
      </c>
      <c r="B11" s="46" t="s">
        <v>163</v>
      </c>
      <c r="C11" s="64"/>
      <c r="D11" s="52"/>
      <c r="E11" s="61">
        <f>DESLOC.MÉDIO!B11</f>
        <v>1233.28</v>
      </c>
      <c r="F11" s="73">
        <v>100</v>
      </c>
      <c r="G11" s="72">
        <f>E11*F11</f>
        <v>123328</v>
      </c>
    </row>
    <row r="12" spans="1:7" x14ac:dyDescent="0.2">
      <c r="A12" s="42" t="s">
        <v>164</v>
      </c>
      <c r="C12" s="58"/>
      <c r="G12" s="17"/>
    </row>
    <row r="13" spans="1:7" ht="25.5" x14ac:dyDescent="0.2">
      <c r="A13" s="67" t="s">
        <v>155</v>
      </c>
      <c r="B13" s="68" t="s">
        <v>156</v>
      </c>
      <c r="C13" s="71"/>
      <c r="D13" s="71"/>
      <c r="E13" s="71"/>
      <c r="F13" s="71"/>
      <c r="G13" s="67" t="s">
        <v>161</v>
      </c>
    </row>
    <row r="14" spans="1:7" x14ac:dyDescent="0.2">
      <c r="A14" s="73">
        <v>5</v>
      </c>
      <c r="B14" s="46" t="str">
        <f>engcivarq!A15</f>
        <v>Arquiteto ou Engenheiro Civil 40 horas semanais</v>
      </c>
      <c r="C14" s="65"/>
      <c r="D14" s="65"/>
      <c r="E14" s="65"/>
      <c r="F14" s="65"/>
      <c r="G14" s="63">
        <f>horaextra!C33</f>
        <v>183457.19999999998</v>
      </c>
    </row>
    <row r="15" spans="1:7" x14ac:dyDescent="0.2">
      <c r="A15" s="73">
        <v>6</v>
      </c>
      <c r="B15" s="46" t="str">
        <f>engmec!A15</f>
        <v>Engenheiro Mecânico 40 horas semanais</v>
      </c>
      <c r="C15" s="65"/>
      <c r="D15" s="65"/>
      <c r="E15" s="65"/>
      <c r="F15" s="65"/>
      <c r="G15" s="63">
        <f>horaextra!E33</f>
        <v>36691.440000000002</v>
      </c>
    </row>
    <row r="16" spans="1:7" x14ac:dyDescent="0.2">
      <c r="A16" s="73">
        <v>7</v>
      </c>
      <c r="B16" s="46" t="str">
        <f>engeletr!A15</f>
        <v>Engenheiro Eletricista 40 horas semanais</v>
      </c>
      <c r="C16" s="65"/>
      <c r="D16" s="65"/>
      <c r="E16" s="65"/>
      <c r="F16" s="65"/>
      <c r="G16" s="63">
        <f>horaextra!G33</f>
        <v>110074.32</v>
      </c>
    </row>
    <row r="17" spans="1:7" x14ac:dyDescent="0.2">
      <c r="A17" s="55"/>
      <c r="B17" s="55"/>
      <c r="C17" s="55"/>
      <c r="D17" s="55"/>
      <c r="E17" s="55"/>
      <c r="F17" s="45" t="s">
        <v>162</v>
      </c>
      <c r="G17" s="72">
        <f>SUM(G14:G16)</f>
        <v>330222.95999999996</v>
      </c>
    </row>
    <row r="18" spans="1:7" x14ac:dyDescent="0.2">
      <c r="A18" s="42" t="s">
        <v>166</v>
      </c>
    </row>
    <row r="19" spans="1:7" ht="51" x14ac:dyDescent="0.2">
      <c r="A19" s="67" t="s">
        <v>155</v>
      </c>
      <c r="B19" s="68" t="s">
        <v>156</v>
      </c>
      <c r="C19" s="71"/>
      <c r="D19" s="71"/>
      <c r="E19" s="67" t="s">
        <v>224</v>
      </c>
      <c r="F19" s="67" t="s">
        <v>225</v>
      </c>
      <c r="G19" s="67" t="s">
        <v>161</v>
      </c>
    </row>
    <row r="20" spans="1:7" x14ac:dyDescent="0.2">
      <c r="A20" s="73">
        <v>8</v>
      </c>
      <c r="B20" s="46" t="s">
        <v>166</v>
      </c>
      <c r="C20" s="65"/>
      <c r="D20" s="65"/>
      <c r="E20" s="61">
        <v>11422.77</v>
      </c>
      <c r="F20" s="168">
        <f>E20*engcivarq!C146</f>
        <v>2494.6279310344862</v>
      </c>
      <c r="G20" s="72">
        <f>E20+F20</f>
        <v>13917.397931034488</v>
      </c>
    </row>
    <row r="21" spans="1:7" ht="13.5" thickBot="1" x14ac:dyDescent="0.25"/>
    <row r="22" spans="1:7" ht="17.25" thickTop="1" thickBot="1" x14ac:dyDescent="0.3">
      <c r="B22" s="200" t="s">
        <v>167</v>
      </c>
      <c r="C22" s="201"/>
      <c r="D22" s="201"/>
      <c r="E22" s="198">
        <f>G8+G11+G17+G20</f>
        <v>6577058.5979310349</v>
      </c>
      <c r="F22" s="199"/>
    </row>
    <row r="23" spans="1:7" ht="13.5" thickTop="1" x14ac:dyDescent="0.2"/>
  </sheetData>
  <mergeCells count="3">
    <mergeCell ref="E22:F22"/>
    <mergeCell ref="B22:D22"/>
    <mergeCell ref="A1:G1"/>
  </mergeCells>
  <pageMargins left="0.51181102362204722" right="0.51181102362204722" top="1.0236220472440944" bottom="0.78740157480314965" header="0.31496062992125984" footer="0.31496062992125984"/>
  <pageSetup paperSize="9" scale="91" orientation="portrait" r:id="rId1"/>
  <headerFooter>
    <oddHeader>&amp;C&amp;G</oddHeader>
    <oddFooter>&amp;L&amp;"-,Negrito"Documento elaborado em 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9"/>
  <sheetViews>
    <sheetView zoomScale="115" zoomScaleNormal="115" workbookViewId="0">
      <selection activeCell="C103" sqref="C10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174" t="s">
        <v>0</v>
      </c>
      <c r="B1" s="174"/>
      <c r="C1" s="174"/>
      <c r="D1" s="174"/>
    </row>
    <row r="2" spans="1:4" ht="15.75" x14ac:dyDescent="0.25">
      <c r="A2" s="26"/>
      <c r="B2" s="26"/>
      <c r="C2" s="26"/>
      <c r="D2" s="26"/>
    </row>
    <row r="3" spans="1:4" x14ac:dyDescent="0.2">
      <c r="A3" s="173" t="s">
        <v>107</v>
      </c>
      <c r="B3" s="173"/>
      <c r="C3" s="173"/>
      <c r="D3" s="173"/>
    </row>
    <row r="4" spans="1:4" x14ac:dyDescent="0.2">
      <c r="A4" s="2"/>
      <c r="B4" s="2"/>
      <c r="C4" s="2"/>
      <c r="D4" s="2"/>
    </row>
    <row r="5" spans="1:4" x14ac:dyDescent="0.2">
      <c r="A5" s="182" t="s">
        <v>108</v>
      </c>
      <c r="B5" s="183"/>
      <c r="C5" s="183"/>
      <c r="D5" s="184"/>
    </row>
    <row r="6" spans="1:4" x14ac:dyDescent="0.2">
      <c r="A6" s="29" t="s">
        <v>4</v>
      </c>
      <c r="B6" s="30" t="s">
        <v>101</v>
      </c>
      <c r="C6" s="31"/>
      <c r="D6" s="32" t="s">
        <v>100</v>
      </c>
    </row>
    <row r="7" spans="1:4" x14ac:dyDescent="0.2">
      <c r="A7" s="29" t="s">
        <v>6</v>
      </c>
      <c r="B7" s="30" t="s">
        <v>102</v>
      </c>
      <c r="C7" s="31"/>
      <c r="D7" s="32"/>
    </row>
    <row r="8" spans="1:4" x14ac:dyDescent="0.2">
      <c r="A8" s="29" t="s">
        <v>8</v>
      </c>
      <c r="B8" s="30" t="s">
        <v>103</v>
      </c>
      <c r="C8" s="31"/>
      <c r="D8" s="33"/>
    </row>
    <row r="9" spans="1:4" x14ac:dyDescent="0.2">
      <c r="A9" s="29" t="s">
        <v>10</v>
      </c>
      <c r="B9" s="30" t="s">
        <v>106</v>
      </c>
      <c r="C9" s="31"/>
      <c r="D9" s="32" t="s">
        <v>104</v>
      </c>
    </row>
    <row r="10" spans="1:4" x14ac:dyDescent="0.2">
      <c r="A10" s="29" t="s">
        <v>12</v>
      </c>
      <c r="B10" s="30" t="s">
        <v>106</v>
      </c>
      <c r="C10" s="31"/>
      <c r="D10" s="32" t="s">
        <v>105</v>
      </c>
    </row>
    <row r="12" spans="1:4" x14ac:dyDescent="0.2">
      <c r="A12" s="173" t="s">
        <v>88</v>
      </c>
      <c r="B12" s="173"/>
      <c r="C12" s="173"/>
      <c r="D12" s="173"/>
    </row>
    <row r="13" spans="1:4" x14ac:dyDescent="0.2">
      <c r="A13" s="2"/>
      <c r="B13" s="2"/>
      <c r="C13" s="2"/>
      <c r="D13" s="2"/>
    </row>
    <row r="14" spans="1:4" ht="38.25" x14ac:dyDescent="0.2">
      <c r="A14" s="185" t="s">
        <v>89</v>
      </c>
      <c r="B14" s="185"/>
      <c r="C14" s="37" t="s">
        <v>90</v>
      </c>
      <c r="D14" s="27" t="s">
        <v>91</v>
      </c>
    </row>
    <row r="15" spans="1:4" x14ac:dyDescent="0.2">
      <c r="A15" s="186" t="s">
        <v>115</v>
      </c>
      <c r="B15" s="186"/>
      <c r="C15" s="38" t="s">
        <v>110</v>
      </c>
      <c r="D15" s="38">
        <v>1</v>
      </c>
    </row>
    <row r="17" spans="1:4" x14ac:dyDescent="0.2">
      <c r="A17" s="173" t="s">
        <v>72</v>
      </c>
      <c r="B17" s="173"/>
      <c r="C17" s="173"/>
      <c r="D17" s="173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73</v>
      </c>
      <c r="C19" s="187" t="s">
        <v>116</v>
      </c>
      <c r="D19" s="188"/>
    </row>
    <row r="20" spans="1:4" x14ac:dyDescent="0.2">
      <c r="A20" s="5">
        <v>2</v>
      </c>
      <c r="B20" s="5" t="s">
        <v>92</v>
      </c>
      <c r="C20" s="187" t="s">
        <v>117</v>
      </c>
      <c r="D20" s="188"/>
    </row>
    <row r="21" spans="1:4" x14ac:dyDescent="0.2">
      <c r="A21" s="5">
        <v>3</v>
      </c>
      <c r="B21" s="5" t="s">
        <v>74</v>
      </c>
      <c r="C21" s="187"/>
      <c r="D21" s="188"/>
    </row>
    <row r="22" spans="1:4" x14ac:dyDescent="0.2">
      <c r="A22" s="5">
        <v>4</v>
      </c>
      <c r="B22" s="5" t="s">
        <v>75</v>
      </c>
      <c r="C22" s="187"/>
      <c r="D22" s="188"/>
    </row>
    <row r="23" spans="1:4" x14ac:dyDescent="0.2">
      <c r="A23" s="5">
        <v>5</v>
      </c>
      <c r="B23" s="5" t="s">
        <v>76</v>
      </c>
      <c r="C23" s="187"/>
      <c r="D23" s="188"/>
    </row>
    <row r="25" spans="1:4" x14ac:dyDescent="0.2">
      <c r="A25" s="173" t="s">
        <v>1</v>
      </c>
      <c r="B25" s="173"/>
      <c r="C25" s="173"/>
      <c r="D25" s="173"/>
    </row>
    <row r="27" spans="1:4" x14ac:dyDescent="0.2">
      <c r="A27" s="39">
        <v>1</v>
      </c>
      <c r="B27" s="170" t="s">
        <v>2</v>
      </c>
      <c r="C27" s="170"/>
      <c r="D27" s="39" t="s">
        <v>3</v>
      </c>
    </row>
    <row r="28" spans="1:4" x14ac:dyDescent="0.2">
      <c r="A28" s="37" t="s">
        <v>4</v>
      </c>
      <c r="B28" s="169" t="s">
        <v>5</v>
      </c>
      <c r="C28" s="169"/>
      <c r="D28" s="13">
        <v>13356.03</v>
      </c>
    </row>
    <row r="29" spans="1:4" x14ac:dyDescent="0.2">
      <c r="A29" s="37" t="s">
        <v>6</v>
      </c>
      <c r="B29" s="169" t="s">
        <v>7</v>
      </c>
      <c r="C29" s="169"/>
      <c r="D29" s="13"/>
    </row>
    <row r="30" spans="1:4" x14ac:dyDescent="0.2">
      <c r="A30" s="37" t="s">
        <v>8</v>
      </c>
      <c r="B30" s="169" t="s">
        <v>9</v>
      </c>
      <c r="C30" s="169"/>
      <c r="D30" s="13"/>
    </row>
    <row r="31" spans="1:4" x14ac:dyDescent="0.2">
      <c r="A31" s="37" t="s">
        <v>10</v>
      </c>
      <c r="B31" s="169" t="s">
        <v>11</v>
      </c>
      <c r="C31" s="169"/>
      <c r="D31" s="13"/>
    </row>
    <row r="32" spans="1:4" x14ac:dyDescent="0.2">
      <c r="A32" s="37" t="s">
        <v>12</v>
      </c>
      <c r="B32" s="169" t="s">
        <v>13</v>
      </c>
      <c r="C32" s="169"/>
      <c r="D32" s="13"/>
    </row>
    <row r="33" spans="1:4" x14ac:dyDescent="0.2">
      <c r="A33" s="37"/>
      <c r="B33" s="169"/>
      <c r="C33" s="169"/>
      <c r="D33" s="13"/>
    </row>
    <row r="34" spans="1:4" x14ac:dyDescent="0.2">
      <c r="A34" s="37" t="s">
        <v>14</v>
      </c>
      <c r="B34" s="169" t="s">
        <v>15</v>
      </c>
      <c r="C34" s="169"/>
      <c r="D34" s="13"/>
    </row>
    <row r="35" spans="1:4" x14ac:dyDescent="0.2">
      <c r="A35" s="170" t="s">
        <v>16</v>
      </c>
      <c r="B35" s="170"/>
      <c r="C35" s="170"/>
      <c r="D35" s="20">
        <f>SUM(D28:D34)</f>
        <v>13356.03</v>
      </c>
    </row>
    <row r="38" spans="1:4" x14ac:dyDescent="0.2">
      <c r="A38" s="173" t="s">
        <v>17</v>
      </c>
      <c r="B38" s="173"/>
      <c r="C38" s="173"/>
      <c r="D38" s="173"/>
    </row>
    <row r="39" spans="1:4" x14ac:dyDescent="0.2">
      <c r="A39" s="3"/>
    </row>
    <row r="40" spans="1:4" x14ac:dyDescent="0.2">
      <c r="A40" s="171" t="s">
        <v>18</v>
      </c>
      <c r="B40" s="171"/>
      <c r="C40" s="171"/>
      <c r="D40" s="171"/>
    </row>
    <row r="42" spans="1:4" x14ac:dyDescent="0.2">
      <c r="A42" s="39" t="s">
        <v>19</v>
      </c>
      <c r="B42" s="170" t="s">
        <v>20</v>
      </c>
      <c r="C42" s="170"/>
      <c r="D42" s="39" t="s">
        <v>3</v>
      </c>
    </row>
    <row r="43" spans="1:4" x14ac:dyDescent="0.2">
      <c r="A43" s="37" t="s">
        <v>4</v>
      </c>
      <c r="B43" s="40" t="s">
        <v>21</v>
      </c>
      <c r="C43" s="12">
        <f>TRUNC(1/12,4)</f>
        <v>8.3299999999999999E-2</v>
      </c>
      <c r="D43" s="13">
        <f>TRUNC($D$35*C43,2)</f>
        <v>1112.55</v>
      </c>
    </row>
    <row r="44" spans="1:4" x14ac:dyDescent="0.2">
      <c r="A44" s="37" t="s">
        <v>6</v>
      </c>
      <c r="B44" s="40" t="s">
        <v>22</v>
      </c>
      <c r="C44" s="12">
        <f>TRUNC(((1+1/3)/12),4)</f>
        <v>0.1111</v>
      </c>
      <c r="D44" s="13">
        <f>TRUNC($D$35*C44,2)</f>
        <v>1483.85</v>
      </c>
    </row>
    <row r="45" spans="1:4" x14ac:dyDescent="0.2">
      <c r="A45" s="170" t="s">
        <v>16</v>
      </c>
      <c r="B45" s="170"/>
      <c r="C45" s="28">
        <f>SUM(C43:C44)</f>
        <v>0.19440000000000002</v>
      </c>
      <c r="D45" s="19">
        <f>SUM(D43:D44)</f>
        <v>2596.3999999999996</v>
      </c>
    </row>
    <row r="48" spans="1:4" x14ac:dyDescent="0.2">
      <c r="A48" s="175" t="s">
        <v>23</v>
      </c>
      <c r="B48" s="175"/>
      <c r="C48" s="175"/>
      <c r="D48" s="175"/>
    </row>
    <row r="50" spans="1:4" x14ac:dyDescent="0.2">
      <c r="A50" s="39" t="s">
        <v>24</v>
      </c>
      <c r="B50" s="39" t="s">
        <v>25</v>
      </c>
      <c r="C50" s="39" t="s">
        <v>26</v>
      </c>
      <c r="D50" s="39" t="s">
        <v>3</v>
      </c>
    </row>
    <row r="51" spans="1:4" x14ac:dyDescent="0.2">
      <c r="A51" s="37" t="s">
        <v>4</v>
      </c>
      <c r="B51" s="40" t="s">
        <v>27</v>
      </c>
      <c r="C51" s="9">
        <v>0.2</v>
      </c>
      <c r="D51" s="13">
        <f>TRUNC(($D$35+$D$45)*C51,2)</f>
        <v>3190.48</v>
      </c>
    </row>
    <row r="52" spans="1:4" x14ac:dyDescent="0.2">
      <c r="A52" s="37" t="s">
        <v>6</v>
      </c>
      <c r="B52" s="40" t="s">
        <v>28</v>
      </c>
      <c r="C52" s="9">
        <v>2.5000000000000001E-2</v>
      </c>
      <c r="D52" s="13">
        <f t="shared" ref="D52:D58" si="0">TRUNC(($D$35+$D$45)*C52,2)</f>
        <v>398.81</v>
      </c>
    </row>
    <row r="53" spans="1:4" x14ac:dyDescent="0.2">
      <c r="A53" s="37" t="s">
        <v>8</v>
      </c>
      <c r="B53" s="40" t="s">
        <v>29</v>
      </c>
      <c r="C53" s="16">
        <v>0.03</v>
      </c>
      <c r="D53" s="13">
        <f t="shared" si="0"/>
        <v>478.57</v>
      </c>
    </row>
    <row r="54" spans="1:4" x14ac:dyDescent="0.2">
      <c r="A54" s="37" t="s">
        <v>10</v>
      </c>
      <c r="B54" s="40" t="s">
        <v>30</v>
      </c>
      <c r="C54" s="9">
        <v>1.4999999999999999E-2</v>
      </c>
      <c r="D54" s="13">
        <f t="shared" si="0"/>
        <v>239.28</v>
      </c>
    </row>
    <row r="55" spans="1:4" x14ac:dyDescent="0.2">
      <c r="A55" s="37" t="s">
        <v>12</v>
      </c>
      <c r="B55" s="40" t="s">
        <v>31</v>
      </c>
      <c r="C55" s="9">
        <v>0.01</v>
      </c>
      <c r="D55" s="13">
        <f t="shared" si="0"/>
        <v>159.52000000000001</v>
      </c>
    </row>
    <row r="56" spans="1:4" x14ac:dyDescent="0.2">
      <c r="A56" s="37" t="s">
        <v>32</v>
      </c>
      <c r="B56" s="40" t="s">
        <v>33</v>
      </c>
      <c r="C56" s="9">
        <v>6.0000000000000001E-3</v>
      </c>
      <c r="D56" s="13">
        <f t="shared" si="0"/>
        <v>95.71</v>
      </c>
    </row>
    <row r="57" spans="1:4" x14ac:dyDescent="0.2">
      <c r="A57" s="37" t="s">
        <v>14</v>
      </c>
      <c r="B57" s="40" t="s">
        <v>34</v>
      </c>
      <c r="C57" s="9">
        <v>2E-3</v>
      </c>
      <c r="D57" s="13">
        <f t="shared" si="0"/>
        <v>31.9</v>
      </c>
    </row>
    <row r="58" spans="1:4" x14ac:dyDescent="0.2">
      <c r="A58" s="37" t="s">
        <v>35</v>
      </c>
      <c r="B58" s="40" t="s">
        <v>36</v>
      </c>
      <c r="C58" s="9">
        <v>0.08</v>
      </c>
      <c r="D58" s="13">
        <f t="shared" si="0"/>
        <v>1276.19</v>
      </c>
    </row>
    <row r="59" spans="1:4" x14ac:dyDescent="0.2">
      <c r="A59" s="170" t="s">
        <v>37</v>
      </c>
      <c r="B59" s="170"/>
      <c r="C59" s="15">
        <f>SUM(C51:C58)</f>
        <v>0.36800000000000005</v>
      </c>
      <c r="D59" s="19">
        <f>SUM(D51:D58)</f>
        <v>5870.4600000000009</v>
      </c>
    </row>
    <row r="62" spans="1:4" x14ac:dyDescent="0.2">
      <c r="A62" s="171" t="s">
        <v>38</v>
      </c>
      <c r="B62" s="171"/>
      <c r="C62" s="171"/>
      <c r="D62" s="171"/>
    </row>
    <row r="64" spans="1:4" x14ac:dyDescent="0.2">
      <c r="A64" s="39" t="s">
        <v>39</v>
      </c>
      <c r="B64" s="172" t="s">
        <v>40</v>
      </c>
      <c r="C64" s="172"/>
      <c r="D64" s="39" t="s">
        <v>3</v>
      </c>
    </row>
    <row r="65" spans="1:5" x14ac:dyDescent="0.2">
      <c r="A65" s="37" t="s">
        <v>4</v>
      </c>
      <c r="B65" s="169" t="s">
        <v>41</v>
      </c>
      <c r="C65" s="169"/>
      <c r="D65" s="13">
        <f>IF((22*2*5.6)-(D28*0.06)&gt;0,(22*2*5.6)-(D28*0.06),0)</f>
        <v>0</v>
      </c>
    </row>
    <row r="66" spans="1:5" x14ac:dyDescent="0.2">
      <c r="A66" s="37" t="s">
        <v>6</v>
      </c>
      <c r="B66" s="169" t="s">
        <v>42</v>
      </c>
      <c r="C66" s="169"/>
      <c r="D66" s="13">
        <v>0</v>
      </c>
    </row>
    <row r="67" spans="1:5" x14ac:dyDescent="0.2">
      <c r="A67" s="37" t="s">
        <v>8</v>
      </c>
      <c r="B67" s="169" t="s">
        <v>43</v>
      </c>
      <c r="C67" s="169"/>
      <c r="D67" s="13"/>
    </row>
    <row r="68" spans="1:5" x14ac:dyDescent="0.2">
      <c r="A68" s="37" t="s">
        <v>10</v>
      </c>
      <c r="B68" s="169" t="s">
        <v>15</v>
      </c>
      <c r="C68" s="169"/>
      <c r="D68" s="13"/>
    </row>
    <row r="69" spans="1:5" x14ac:dyDescent="0.2">
      <c r="A69" s="170" t="s">
        <v>16</v>
      </c>
      <c r="B69" s="170"/>
      <c r="C69" s="170"/>
      <c r="D69" s="19">
        <f>SUM(D65:D68)</f>
        <v>0</v>
      </c>
    </row>
    <row r="72" spans="1:5" x14ac:dyDescent="0.2">
      <c r="A72" s="171" t="s">
        <v>44</v>
      </c>
      <c r="B72" s="171"/>
      <c r="C72" s="171"/>
      <c r="D72" s="171"/>
    </row>
    <row r="74" spans="1:5" x14ac:dyDescent="0.2">
      <c r="A74" s="39">
        <v>2</v>
      </c>
      <c r="B74" s="172" t="s">
        <v>45</v>
      </c>
      <c r="C74" s="172"/>
      <c r="D74" s="39" t="s">
        <v>3</v>
      </c>
    </row>
    <row r="75" spans="1:5" x14ac:dyDescent="0.2">
      <c r="A75" s="37" t="s">
        <v>19</v>
      </c>
      <c r="B75" s="169" t="s">
        <v>20</v>
      </c>
      <c r="C75" s="169"/>
      <c r="D75" s="14">
        <f>D45</f>
        <v>2596.3999999999996</v>
      </c>
    </row>
    <row r="76" spans="1:5" x14ac:dyDescent="0.2">
      <c r="A76" s="37" t="s">
        <v>24</v>
      </c>
      <c r="B76" s="169" t="s">
        <v>25</v>
      </c>
      <c r="C76" s="169"/>
      <c r="D76" s="14">
        <f>D59</f>
        <v>5870.4600000000009</v>
      </c>
    </row>
    <row r="77" spans="1:5" x14ac:dyDescent="0.2">
      <c r="A77" s="37" t="s">
        <v>39</v>
      </c>
      <c r="B77" s="169" t="s">
        <v>40</v>
      </c>
      <c r="C77" s="169"/>
      <c r="D77" s="14">
        <f>D69</f>
        <v>0</v>
      </c>
    </row>
    <row r="78" spans="1:5" x14ac:dyDescent="0.2">
      <c r="A78" s="170" t="s">
        <v>16</v>
      </c>
      <c r="B78" s="170"/>
      <c r="C78" s="170"/>
      <c r="D78" s="19">
        <f>SUM(D75:D77)</f>
        <v>8466.86</v>
      </c>
    </row>
    <row r="79" spans="1:5" x14ac:dyDescent="0.2">
      <c r="A79" s="4"/>
      <c r="E79" s="18"/>
    </row>
    <row r="81" spans="1:5" x14ac:dyDescent="0.2">
      <c r="A81" s="173" t="s">
        <v>46</v>
      </c>
      <c r="B81" s="173"/>
      <c r="C81" s="173"/>
      <c r="D81" s="173"/>
      <c r="E81" s="17"/>
    </row>
    <row r="82" spans="1:5" ht="12.75" customHeight="1" x14ac:dyDescent="0.2">
      <c r="E82" s="18"/>
    </row>
    <row r="83" spans="1:5" x14ac:dyDescent="0.2">
      <c r="A83" s="39">
        <v>3</v>
      </c>
      <c r="B83" s="172" t="s">
        <v>47</v>
      </c>
      <c r="C83" s="172"/>
      <c r="D83" s="39" t="s">
        <v>3</v>
      </c>
    </row>
    <row r="84" spans="1:5" x14ac:dyDescent="0.2">
      <c r="A84" s="37" t="s">
        <v>4</v>
      </c>
      <c r="B84" s="10" t="s">
        <v>48</v>
      </c>
      <c r="C84" s="9">
        <f>TRUNC(((1/12)*5%),4)</f>
        <v>4.1000000000000003E-3</v>
      </c>
      <c r="D84" s="13">
        <f>TRUNC($D$35*C84,2)</f>
        <v>54.75</v>
      </c>
    </row>
    <row r="85" spans="1:5" x14ac:dyDescent="0.2">
      <c r="A85" s="37" t="s">
        <v>6</v>
      </c>
      <c r="B85" s="10" t="s">
        <v>49</v>
      </c>
      <c r="C85" s="9">
        <v>0.08</v>
      </c>
      <c r="D85" s="13">
        <f>TRUNC(D84*C85,2)</f>
        <v>4.38</v>
      </c>
    </row>
    <row r="86" spans="1:5" x14ac:dyDescent="0.2">
      <c r="A86" s="37" t="s">
        <v>8</v>
      </c>
      <c r="B86" s="10" t="s">
        <v>98</v>
      </c>
      <c r="C86" s="9">
        <f>TRUNC(8%*5%*40%,4)</f>
        <v>1.6000000000000001E-3</v>
      </c>
      <c r="D86" s="13">
        <f>TRUNC($D$35*C86,2)</f>
        <v>21.36</v>
      </c>
    </row>
    <row r="87" spans="1:5" x14ac:dyDescent="0.2">
      <c r="A87" s="37" t="s">
        <v>10</v>
      </c>
      <c r="B87" s="10" t="s">
        <v>50</v>
      </c>
      <c r="C87" s="9">
        <f>TRUNC(((7/30)/12)*95%,4)</f>
        <v>1.84E-2</v>
      </c>
      <c r="D87" s="13">
        <f>TRUNC($D$35*C87,2)</f>
        <v>245.75</v>
      </c>
    </row>
    <row r="88" spans="1:5" ht="25.5" x14ac:dyDescent="0.2">
      <c r="A88" s="37" t="s">
        <v>12</v>
      </c>
      <c r="B88" s="10" t="s">
        <v>93</v>
      </c>
      <c r="C88" s="9">
        <f>C59</f>
        <v>0.36800000000000005</v>
      </c>
      <c r="D88" s="13">
        <f>TRUNC(D87*C88,2)</f>
        <v>90.43</v>
      </c>
    </row>
    <row r="89" spans="1:5" x14ac:dyDescent="0.2">
      <c r="A89" s="37" t="s">
        <v>32</v>
      </c>
      <c r="B89" s="10" t="s">
        <v>99</v>
      </c>
      <c r="C89" s="9">
        <f>TRUNC(8%*95%*40%,4)</f>
        <v>3.04E-2</v>
      </c>
      <c r="D89" s="13">
        <f t="shared" ref="D89" si="1">TRUNC($D$35*C89,2)</f>
        <v>406.02</v>
      </c>
    </row>
    <row r="90" spans="1:5" x14ac:dyDescent="0.2">
      <c r="A90" s="176" t="s">
        <v>16</v>
      </c>
      <c r="B90" s="177"/>
      <c r="C90" s="178"/>
      <c r="D90" s="19">
        <f>SUM(D84:D89)</f>
        <v>822.69</v>
      </c>
    </row>
    <row r="93" spans="1:5" x14ac:dyDescent="0.2">
      <c r="A93" s="173" t="s">
        <v>51</v>
      </c>
      <c r="B93" s="173"/>
      <c r="C93" s="173"/>
      <c r="D93" s="173"/>
    </row>
    <row r="96" spans="1:5" x14ac:dyDescent="0.2">
      <c r="A96" s="171" t="s">
        <v>77</v>
      </c>
      <c r="B96" s="171"/>
      <c r="C96" s="171"/>
      <c r="D96" s="171"/>
    </row>
    <row r="97" spans="1:6" x14ac:dyDescent="0.2">
      <c r="A97" s="3"/>
    </row>
    <row r="98" spans="1:6" x14ac:dyDescent="0.2">
      <c r="A98" s="39" t="s">
        <v>52</v>
      </c>
      <c r="B98" s="172" t="s">
        <v>78</v>
      </c>
      <c r="C98" s="172"/>
      <c r="D98" s="39" t="s">
        <v>3</v>
      </c>
    </row>
    <row r="99" spans="1:6" x14ac:dyDescent="0.2">
      <c r="A99" s="37" t="s">
        <v>4</v>
      </c>
      <c r="B99" s="40" t="s">
        <v>79</v>
      </c>
      <c r="C99" s="9">
        <f>TRUNC(((1+1/3)/12)/12,4)*0</f>
        <v>0</v>
      </c>
      <c r="D99" s="13">
        <f>TRUNC(($D$35+$D$78+$D$90)*C99,2)</f>
        <v>0</v>
      </c>
    </row>
    <row r="100" spans="1:6" x14ac:dyDescent="0.2">
      <c r="A100" s="37" t="s">
        <v>6</v>
      </c>
      <c r="B100" s="40" t="s">
        <v>80</v>
      </c>
      <c r="C100" s="9">
        <f>TRUNC(((2/30)/12),4)*0</f>
        <v>0</v>
      </c>
      <c r="D100" s="13">
        <f t="shared" ref="D100:D104" si="2">TRUNC(($D$35+$D$78+$D$90)*C100,2)</f>
        <v>0</v>
      </c>
    </row>
    <row r="101" spans="1:6" x14ac:dyDescent="0.2">
      <c r="A101" s="37" t="s">
        <v>8</v>
      </c>
      <c r="B101" s="40" t="s">
        <v>81</v>
      </c>
      <c r="C101" s="9">
        <f>TRUNC(((5/30)/12)*2%,4)*0</f>
        <v>0</v>
      </c>
      <c r="D101" s="13">
        <f t="shared" si="2"/>
        <v>0</v>
      </c>
    </row>
    <row r="102" spans="1:6" x14ac:dyDescent="0.2">
      <c r="A102" s="37" t="s">
        <v>10</v>
      </c>
      <c r="B102" s="40" t="s">
        <v>82</v>
      </c>
      <c r="C102" s="9">
        <f>TRUNC(((15/30)/12)*8%,4)*0</f>
        <v>0</v>
      </c>
      <c r="D102" s="13">
        <f t="shared" si="2"/>
        <v>0</v>
      </c>
    </row>
    <row r="103" spans="1:6" x14ac:dyDescent="0.2">
      <c r="A103" s="37" t="s">
        <v>12</v>
      </c>
      <c r="B103" s="40" t="s">
        <v>83</v>
      </c>
      <c r="C103" s="9">
        <f>((1+1/3)/12)*3%*(4/12)</f>
        <v>1.1111111111111109E-3</v>
      </c>
      <c r="D103" s="13">
        <f t="shared" si="2"/>
        <v>25.16</v>
      </c>
    </row>
    <row r="104" spans="1:6" x14ac:dyDescent="0.2">
      <c r="A104" s="37" t="s">
        <v>32</v>
      </c>
      <c r="B104" s="40" t="s">
        <v>84</v>
      </c>
      <c r="C104" s="9"/>
      <c r="D104" s="13">
        <f t="shared" si="2"/>
        <v>0</v>
      </c>
    </row>
    <row r="105" spans="1:6" x14ac:dyDescent="0.2">
      <c r="A105" s="170" t="s">
        <v>37</v>
      </c>
      <c r="B105" s="170"/>
      <c r="C105" s="170"/>
      <c r="D105" s="19">
        <f>SUM(D99:D104)</f>
        <v>25.16</v>
      </c>
      <c r="E105" s="17"/>
      <c r="F105" s="17"/>
    </row>
    <row r="108" spans="1:6" x14ac:dyDescent="0.2">
      <c r="A108" s="171" t="s">
        <v>85</v>
      </c>
      <c r="B108" s="171"/>
      <c r="C108" s="171"/>
      <c r="D108" s="171"/>
    </row>
    <row r="109" spans="1:6" x14ac:dyDescent="0.2">
      <c r="A109" s="3"/>
    </row>
    <row r="110" spans="1:6" x14ac:dyDescent="0.2">
      <c r="A110" s="39" t="s">
        <v>53</v>
      </c>
      <c r="B110" s="172" t="s">
        <v>86</v>
      </c>
      <c r="C110" s="172"/>
      <c r="D110" s="39" t="s">
        <v>3</v>
      </c>
    </row>
    <row r="111" spans="1:6" x14ac:dyDescent="0.2">
      <c r="A111" s="37" t="s">
        <v>4</v>
      </c>
      <c r="B111" s="179" t="s">
        <v>87</v>
      </c>
      <c r="C111" s="180"/>
      <c r="D111" s="13">
        <f>((D35+D78+D90)/220)*22*0</f>
        <v>0</v>
      </c>
    </row>
    <row r="112" spans="1:6" x14ac:dyDescent="0.2">
      <c r="A112" s="170" t="s">
        <v>16</v>
      </c>
      <c r="B112" s="170"/>
      <c r="C112" s="170"/>
      <c r="D112" s="19">
        <f>SUM(D111)</f>
        <v>0</v>
      </c>
    </row>
    <row r="115" spans="1:4" x14ac:dyDescent="0.2">
      <c r="A115" s="171" t="s">
        <v>54</v>
      </c>
      <c r="B115" s="171"/>
      <c r="C115" s="171"/>
      <c r="D115" s="171"/>
    </row>
    <row r="116" spans="1:4" x14ac:dyDescent="0.2">
      <c r="A116" s="3"/>
    </row>
    <row r="117" spans="1:4" x14ac:dyDescent="0.2">
      <c r="A117" s="39">
        <v>4</v>
      </c>
      <c r="B117" s="170" t="s">
        <v>55</v>
      </c>
      <c r="C117" s="170"/>
      <c r="D117" s="39" t="s">
        <v>3</v>
      </c>
    </row>
    <row r="118" spans="1:4" x14ac:dyDescent="0.2">
      <c r="A118" s="37" t="s">
        <v>52</v>
      </c>
      <c r="B118" s="169" t="s">
        <v>78</v>
      </c>
      <c r="C118" s="169"/>
      <c r="D118" s="14">
        <f>D105</f>
        <v>25.16</v>
      </c>
    </row>
    <row r="119" spans="1:4" x14ac:dyDescent="0.2">
      <c r="A119" s="37" t="s">
        <v>53</v>
      </c>
      <c r="B119" s="169" t="s">
        <v>86</v>
      </c>
      <c r="C119" s="169"/>
      <c r="D119" s="14">
        <f>D112</f>
        <v>0</v>
      </c>
    </row>
    <row r="120" spans="1:4" x14ac:dyDescent="0.2">
      <c r="A120" s="170" t="s">
        <v>16</v>
      </c>
      <c r="B120" s="170"/>
      <c r="C120" s="170"/>
      <c r="D120" s="19">
        <f>SUM(D118:D119)</f>
        <v>25.16</v>
      </c>
    </row>
    <row r="123" spans="1:4" x14ac:dyDescent="0.2">
      <c r="A123" s="173" t="s">
        <v>56</v>
      </c>
      <c r="B123" s="173"/>
      <c r="C123" s="173"/>
      <c r="D123" s="173"/>
    </row>
    <row r="125" spans="1:4" x14ac:dyDescent="0.2">
      <c r="A125" s="39">
        <v>5</v>
      </c>
      <c r="B125" s="181" t="s">
        <v>57</v>
      </c>
      <c r="C125" s="181"/>
      <c r="D125" s="39" t="s">
        <v>3</v>
      </c>
    </row>
    <row r="126" spans="1:4" x14ac:dyDescent="0.2">
      <c r="A126" s="37" t="s">
        <v>4</v>
      </c>
      <c r="B126" s="40" t="s">
        <v>58</v>
      </c>
      <c r="C126" s="40"/>
      <c r="D126" s="13">
        <v>0.17</v>
      </c>
    </row>
    <row r="127" spans="1:4" x14ac:dyDescent="0.2">
      <c r="A127" s="37" t="s">
        <v>6</v>
      </c>
      <c r="B127" s="40" t="s">
        <v>59</v>
      </c>
      <c r="C127" s="40"/>
      <c r="D127" s="13"/>
    </row>
    <row r="128" spans="1:4" x14ac:dyDescent="0.2">
      <c r="A128" s="37" t="s">
        <v>8</v>
      </c>
      <c r="B128" s="40" t="s">
        <v>60</v>
      </c>
      <c r="C128" s="40"/>
      <c r="D128" s="13">
        <v>2.58</v>
      </c>
    </row>
    <row r="129" spans="1:4" x14ac:dyDescent="0.2">
      <c r="A129" s="37" t="s">
        <v>10</v>
      </c>
      <c r="B129" s="40" t="s">
        <v>113</v>
      </c>
      <c r="C129" s="40"/>
      <c r="D129" s="13">
        <v>16.45</v>
      </c>
    </row>
    <row r="130" spans="1:4" x14ac:dyDescent="0.2">
      <c r="A130" s="37" t="s">
        <v>12</v>
      </c>
      <c r="B130" s="40" t="s">
        <v>114</v>
      </c>
      <c r="C130" s="40"/>
      <c r="D130" s="13">
        <v>525.22</v>
      </c>
    </row>
    <row r="131" spans="1:4" x14ac:dyDescent="0.2">
      <c r="A131" s="170" t="s">
        <v>37</v>
      </c>
      <c r="B131" s="170"/>
      <c r="C131" s="170"/>
      <c r="D131" s="20">
        <f>SUM(D126:D130)</f>
        <v>544.42000000000007</v>
      </c>
    </row>
    <row r="134" spans="1:4" x14ac:dyDescent="0.2">
      <c r="A134" s="173" t="s">
        <v>61</v>
      </c>
      <c r="B134" s="173"/>
      <c r="C134" s="173"/>
      <c r="D134" s="173"/>
    </row>
    <row r="136" spans="1:4" x14ac:dyDescent="0.2">
      <c r="A136" s="39">
        <v>6</v>
      </c>
      <c r="B136" s="41" t="s">
        <v>62</v>
      </c>
      <c r="C136" s="39" t="s">
        <v>26</v>
      </c>
      <c r="D136" s="39" t="s">
        <v>3</v>
      </c>
    </row>
    <row r="137" spans="1:4" x14ac:dyDescent="0.2">
      <c r="A137" s="37" t="s">
        <v>4</v>
      </c>
      <c r="B137" s="40" t="s">
        <v>63</v>
      </c>
      <c r="C137" s="9">
        <v>0.05</v>
      </c>
      <c r="D137" s="14">
        <f>D157*C137</f>
        <v>1160.7579999999998</v>
      </c>
    </row>
    <row r="138" spans="1:4" x14ac:dyDescent="0.2">
      <c r="A138" s="37" t="s">
        <v>6</v>
      </c>
      <c r="B138" s="40" t="s">
        <v>64</v>
      </c>
      <c r="C138" s="9">
        <v>0.06</v>
      </c>
      <c r="D138" s="13">
        <f>(D157+D137)*C138</f>
        <v>1462.5550799999999</v>
      </c>
    </row>
    <row r="139" spans="1:4" x14ac:dyDescent="0.2">
      <c r="A139" s="37" t="s">
        <v>8</v>
      </c>
      <c r="B139" s="40" t="s">
        <v>65</v>
      </c>
      <c r="C139" s="12">
        <f>SUM(C140:C145)</f>
        <v>8.6499999999999994E-2</v>
      </c>
      <c r="D139" s="13">
        <f>(D157+D137+D138)*C139/(1-C139)</f>
        <v>2446.6643912643672</v>
      </c>
    </row>
    <row r="140" spans="1:4" x14ac:dyDescent="0.2">
      <c r="A140" s="37"/>
      <c r="B140" s="40" t="s">
        <v>66</v>
      </c>
      <c r="C140" s="9"/>
      <c r="D140" s="14">
        <f>$D$159*C140</f>
        <v>0</v>
      </c>
    </row>
    <row r="141" spans="1:4" x14ac:dyDescent="0.2">
      <c r="A141" s="37"/>
      <c r="B141" s="40" t="s">
        <v>95</v>
      </c>
      <c r="C141" s="9">
        <v>6.4999999999999997E-3</v>
      </c>
      <c r="D141" s="14">
        <f t="shared" ref="D141:D145" si="3">$D$159*C141</f>
        <v>183.85341</v>
      </c>
    </row>
    <row r="142" spans="1:4" x14ac:dyDescent="0.2">
      <c r="A142" s="37"/>
      <c r="B142" s="40" t="s">
        <v>96</v>
      </c>
      <c r="C142" s="9">
        <v>0.03</v>
      </c>
      <c r="D142" s="14">
        <f t="shared" si="3"/>
        <v>848.55419999999992</v>
      </c>
    </row>
    <row r="143" spans="1:4" x14ac:dyDescent="0.2">
      <c r="A143" s="37"/>
      <c r="B143" s="40" t="s">
        <v>67</v>
      </c>
      <c r="C143" s="37"/>
      <c r="D143" s="14">
        <f t="shared" si="3"/>
        <v>0</v>
      </c>
    </row>
    <row r="144" spans="1:4" x14ac:dyDescent="0.2">
      <c r="A144" s="37"/>
      <c r="B144" s="40" t="s">
        <v>68</v>
      </c>
      <c r="C144" s="9"/>
      <c r="D144" s="14">
        <f t="shared" si="3"/>
        <v>0</v>
      </c>
    </row>
    <row r="145" spans="1:4" x14ac:dyDescent="0.2">
      <c r="A145" s="37"/>
      <c r="B145" s="40" t="s">
        <v>97</v>
      </c>
      <c r="C145" s="9">
        <v>0.05</v>
      </c>
      <c r="D145" s="14">
        <f t="shared" si="3"/>
        <v>1414.2570000000001</v>
      </c>
    </row>
    <row r="146" spans="1:4" ht="13.5" x14ac:dyDescent="0.2">
      <c r="A146" s="176" t="s">
        <v>37</v>
      </c>
      <c r="B146" s="177"/>
      <c r="C146" s="21">
        <f>(1+C138)*(1+C137)/(1-C139)-1</f>
        <v>0.21839080459770144</v>
      </c>
      <c r="D146" s="19">
        <f>SUM(D137:D139)</f>
        <v>5069.9774712643666</v>
      </c>
    </row>
    <row r="149" spans="1:4" x14ac:dyDescent="0.2">
      <c r="A149" s="173" t="s">
        <v>109</v>
      </c>
      <c r="B149" s="173"/>
      <c r="C149" s="173"/>
      <c r="D149" s="173"/>
    </row>
    <row r="151" spans="1:4" x14ac:dyDescent="0.2">
      <c r="A151" s="39"/>
      <c r="B151" s="170" t="s">
        <v>69</v>
      </c>
      <c r="C151" s="170"/>
      <c r="D151" s="39" t="s">
        <v>3</v>
      </c>
    </row>
    <row r="152" spans="1:4" x14ac:dyDescent="0.2">
      <c r="A152" s="39" t="s">
        <v>4</v>
      </c>
      <c r="B152" s="169" t="s">
        <v>1</v>
      </c>
      <c r="C152" s="169"/>
      <c r="D152" s="22">
        <f>D35</f>
        <v>13356.03</v>
      </c>
    </row>
    <row r="153" spans="1:4" x14ac:dyDescent="0.2">
      <c r="A153" s="39" t="s">
        <v>6</v>
      </c>
      <c r="B153" s="169" t="s">
        <v>17</v>
      </c>
      <c r="C153" s="169"/>
      <c r="D153" s="22">
        <f>D78</f>
        <v>8466.86</v>
      </c>
    </row>
    <row r="154" spans="1:4" x14ac:dyDescent="0.2">
      <c r="A154" s="39" t="s">
        <v>8</v>
      </c>
      <c r="B154" s="169" t="s">
        <v>46</v>
      </c>
      <c r="C154" s="169"/>
      <c r="D154" s="22">
        <f>D90</f>
        <v>822.69</v>
      </c>
    </row>
    <row r="155" spans="1:4" x14ac:dyDescent="0.2">
      <c r="A155" s="39" t="s">
        <v>10</v>
      </c>
      <c r="B155" s="169" t="s">
        <v>51</v>
      </c>
      <c r="C155" s="169"/>
      <c r="D155" s="22">
        <f>D120</f>
        <v>25.16</v>
      </c>
    </row>
    <row r="156" spans="1:4" x14ac:dyDescent="0.2">
      <c r="A156" s="39" t="s">
        <v>12</v>
      </c>
      <c r="B156" s="169" t="s">
        <v>56</v>
      </c>
      <c r="C156" s="169"/>
      <c r="D156" s="22">
        <f>D131</f>
        <v>544.42000000000007</v>
      </c>
    </row>
    <row r="157" spans="1:4" x14ac:dyDescent="0.2">
      <c r="A157" s="170" t="s">
        <v>94</v>
      </c>
      <c r="B157" s="170"/>
      <c r="C157" s="170"/>
      <c r="D157" s="23">
        <f>SUM(D152:D156)</f>
        <v>23215.159999999996</v>
      </c>
    </row>
    <row r="158" spans="1:4" x14ac:dyDescent="0.2">
      <c r="A158" s="39" t="s">
        <v>32</v>
      </c>
      <c r="B158" s="169" t="s">
        <v>70</v>
      </c>
      <c r="C158" s="169"/>
      <c r="D158" s="24">
        <f>D146</f>
        <v>5069.9774712643666</v>
      </c>
    </row>
    <row r="159" spans="1:4" x14ac:dyDescent="0.2">
      <c r="A159" s="170" t="s">
        <v>71</v>
      </c>
      <c r="B159" s="170"/>
      <c r="C159" s="170"/>
      <c r="D159" s="23">
        <f>ROUND(SUM(D157:D158),2)</f>
        <v>28285.14</v>
      </c>
    </row>
  </sheetData>
  <mergeCells count="72">
    <mergeCell ref="A159:C159"/>
    <mergeCell ref="A134:D134"/>
    <mergeCell ref="A146:B146"/>
    <mergeCell ref="A149:D149"/>
    <mergeCell ref="B151:C151"/>
    <mergeCell ref="B152:C152"/>
    <mergeCell ref="B153:C153"/>
    <mergeCell ref="B154:C154"/>
    <mergeCell ref="B155:C155"/>
    <mergeCell ref="B156:C156"/>
    <mergeCell ref="A157:C157"/>
    <mergeCell ref="B158:C158"/>
    <mergeCell ref="A131:C131"/>
    <mergeCell ref="A108:D108"/>
    <mergeCell ref="B110:C110"/>
    <mergeCell ref="B111:C111"/>
    <mergeCell ref="A112:C112"/>
    <mergeCell ref="A115:D115"/>
    <mergeCell ref="B117:C117"/>
    <mergeCell ref="B118:C118"/>
    <mergeCell ref="B119:C119"/>
    <mergeCell ref="A120:C120"/>
    <mergeCell ref="A123:D123"/>
    <mergeCell ref="B125:C125"/>
    <mergeCell ref="A105:C105"/>
    <mergeCell ref="B74:C74"/>
    <mergeCell ref="B75:C75"/>
    <mergeCell ref="B76:C76"/>
    <mergeCell ref="B77:C77"/>
    <mergeCell ref="A78:C78"/>
    <mergeCell ref="A81:D81"/>
    <mergeCell ref="B83:C83"/>
    <mergeCell ref="A90:C90"/>
    <mergeCell ref="A93:D93"/>
    <mergeCell ref="A96:D96"/>
    <mergeCell ref="B98:C98"/>
    <mergeCell ref="A72:D72"/>
    <mergeCell ref="B42:C42"/>
    <mergeCell ref="A45:B45"/>
    <mergeCell ref="A48:D48"/>
    <mergeCell ref="A59:B59"/>
    <mergeCell ref="A62:D62"/>
    <mergeCell ref="B64:C64"/>
    <mergeCell ref="B65:C65"/>
    <mergeCell ref="B66:C66"/>
    <mergeCell ref="B67:C67"/>
    <mergeCell ref="B68:C68"/>
    <mergeCell ref="A69:C69"/>
    <mergeCell ref="A40:D40"/>
    <mergeCell ref="A25:D25"/>
    <mergeCell ref="B27:C27"/>
    <mergeCell ref="B28:C28"/>
    <mergeCell ref="B29:C29"/>
    <mergeCell ref="B30:C30"/>
    <mergeCell ref="B31:C31"/>
    <mergeCell ref="B32:C32"/>
    <mergeCell ref="B33:C33"/>
    <mergeCell ref="B34:C34"/>
    <mergeCell ref="A35:C35"/>
    <mergeCell ref="A38:D38"/>
    <mergeCell ref="C23:D23"/>
    <mergeCell ref="A1:D1"/>
    <mergeCell ref="A3:D3"/>
    <mergeCell ref="A5:D5"/>
    <mergeCell ref="A12:D12"/>
    <mergeCell ref="A14:B14"/>
    <mergeCell ref="A15:B15"/>
    <mergeCell ref="A17:D17"/>
    <mergeCell ref="C19:D19"/>
    <mergeCell ref="C20:D20"/>
    <mergeCell ref="C21:D21"/>
    <mergeCell ref="C22:D22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9"/>
  <sheetViews>
    <sheetView topLeftCell="A78" zoomScale="115" zoomScaleNormal="115" workbookViewId="0">
      <selection activeCell="C103" sqref="C10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174" t="s">
        <v>0</v>
      </c>
      <c r="B1" s="174"/>
      <c r="C1" s="174"/>
      <c r="D1" s="174"/>
    </row>
    <row r="2" spans="1:4" ht="15.75" x14ac:dyDescent="0.25">
      <c r="A2" s="26"/>
      <c r="B2" s="26"/>
      <c r="C2" s="26"/>
      <c r="D2" s="26"/>
    </row>
    <row r="3" spans="1:4" x14ac:dyDescent="0.2">
      <c r="A3" s="173" t="s">
        <v>107</v>
      </c>
      <c r="B3" s="173"/>
      <c r="C3" s="173"/>
      <c r="D3" s="173"/>
    </row>
    <row r="4" spans="1:4" x14ac:dyDescent="0.2">
      <c r="A4" s="2"/>
      <c r="B4" s="2"/>
      <c r="C4" s="2"/>
      <c r="D4" s="2"/>
    </row>
    <row r="5" spans="1:4" x14ac:dyDescent="0.2">
      <c r="A5" s="182" t="s">
        <v>108</v>
      </c>
      <c r="B5" s="183"/>
      <c r="C5" s="183"/>
      <c r="D5" s="184"/>
    </row>
    <row r="6" spans="1:4" x14ac:dyDescent="0.2">
      <c r="A6" s="29" t="s">
        <v>4</v>
      </c>
      <c r="B6" s="30" t="s">
        <v>101</v>
      </c>
      <c r="C6" s="31"/>
      <c r="D6" s="32" t="s">
        <v>100</v>
      </c>
    </row>
    <row r="7" spans="1:4" x14ac:dyDescent="0.2">
      <c r="A7" s="29" t="s">
        <v>6</v>
      </c>
      <c r="B7" s="30" t="s">
        <v>102</v>
      </c>
      <c r="C7" s="31"/>
      <c r="D7" s="32"/>
    </row>
    <row r="8" spans="1:4" x14ac:dyDescent="0.2">
      <c r="A8" s="29" t="s">
        <v>8</v>
      </c>
      <c r="B8" s="30" t="s">
        <v>103</v>
      </c>
      <c r="C8" s="31"/>
      <c r="D8" s="33"/>
    </row>
    <row r="9" spans="1:4" x14ac:dyDescent="0.2">
      <c r="A9" s="29" t="s">
        <v>10</v>
      </c>
      <c r="B9" s="30" t="s">
        <v>106</v>
      </c>
      <c r="C9" s="31"/>
      <c r="D9" s="32" t="s">
        <v>104</v>
      </c>
    </row>
    <row r="10" spans="1:4" x14ac:dyDescent="0.2">
      <c r="A10" s="29" t="s">
        <v>12</v>
      </c>
      <c r="B10" s="30" t="s">
        <v>106</v>
      </c>
      <c r="C10" s="31"/>
      <c r="D10" s="32" t="s">
        <v>105</v>
      </c>
    </row>
    <row r="12" spans="1:4" x14ac:dyDescent="0.2">
      <c r="A12" s="173" t="s">
        <v>88</v>
      </c>
      <c r="B12" s="173"/>
      <c r="C12" s="173"/>
      <c r="D12" s="173"/>
    </row>
    <row r="13" spans="1:4" x14ac:dyDescent="0.2">
      <c r="A13" s="2"/>
      <c r="B13" s="2"/>
      <c r="C13" s="2"/>
      <c r="D13" s="2"/>
    </row>
    <row r="14" spans="1:4" ht="38.25" x14ac:dyDescent="0.2">
      <c r="A14" s="185" t="s">
        <v>89</v>
      </c>
      <c r="B14" s="185"/>
      <c r="C14" s="37" t="s">
        <v>90</v>
      </c>
      <c r="D14" s="27" t="s">
        <v>91</v>
      </c>
    </row>
    <row r="15" spans="1:4" x14ac:dyDescent="0.2">
      <c r="A15" s="186" t="s">
        <v>118</v>
      </c>
      <c r="B15" s="186"/>
      <c r="C15" s="38" t="s">
        <v>110</v>
      </c>
      <c r="D15" s="38">
        <v>3</v>
      </c>
    </row>
    <row r="17" spans="1:4" x14ac:dyDescent="0.2">
      <c r="A17" s="173" t="s">
        <v>72</v>
      </c>
      <c r="B17" s="173"/>
      <c r="C17" s="173"/>
      <c r="D17" s="173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73</v>
      </c>
      <c r="C19" s="187" t="s">
        <v>119</v>
      </c>
      <c r="D19" s="188"/>
    </row>
    <row r="20" spans="1:4" x14ac:dyDescent="0.2">
      <c r="A20" s="5">
        <v>2</v>
      </c>
      <c r="B20" s="5" t="s">
        <v>92</v>
      </c>
      <c r="C20" s="187" t="s">
        <v>120</v>
      </c>
      <c r="D20" s="188"/>
    </row>
    <row r="21" spans="1:4" x14ac:dyDescent="0.2">
      <c r="A21" s="5">
        <v>3</v>
      </c>
      <c r="B21" s="5" t="s">
        <v>74</v>
      </c>
      <c r="C21" s="187"/>
      <c r="D21" s="188"/>
    </row>
    <row r="22" spans="1:4" x14ac:dyDescent="0.2">
      <c r="A22" s="5">
        <v>4</v>
      </c>
      <c r="B22" s="5" t="s">
        <v>75</v>
      </c>
      <c r="C22" s="187"/>
      <c r="D22" s="188"/>
    </row>
    <row r="23" spans="1:4" x14ac:dyDescent="0.2">
      <c r="A23" s="5">
        <v>5</v>
      </c>
      <c r="B23" s="5" t="s">
        <v>76</v>
      </c>
      <c r="C23" s="187"/>
      <c r="D23" s="188"/>
    </row>
    <row r="25" spans="1:4" x14ac:dyDescent="0.2">
      <c r="A25" s="173" t="s">
        <v>1</v>
      </c>
      <c r="B25" s="173"/>
      <c r="C25" s="173"/>
      <c r="D25" s="173"/>
    </row>
    <row r="27" spans="1:4" x14ac:dyDescent="0.2">
      <c r="A27" s="39">
        <v>1</v>
      </c>
      <c r="B27" s="170" t="s">
        <v>2</v>
      </c>
      <c r="C27" s="170"/>
      <c r="D27" s="39" t="s">
        <v>3</v>
      </c>
    </row>
    <row r="28" spans="1:4" x14ac:dyDescent="0.2">
      <c r="A28" s="37" t="s">
        <v>4</v>
      </c>
      <c r="B28" s="169" t="s">
        <v>5</v>
      </c>
      <c r="C28" s="169"/>
      <c r="D28" s="13">
        <v>13356.03</v>
      </c>
    </row>
    <row r="29" spans="1:4" x14ac:dyDescent="0.2">
      <c r="A29" s="37" t="s">
        <v>6</v>
      </c>
      <c r="B29" s="169" t="s">
        <v>7</v>
      </c>
      <c r="C29" s="169"/>
      <c r="D29" s="13"/>
    </row>
    <row r="30" spans="1:4" x14ac:dyDescent="0.2">
      <c r="A30" s="37" t="s">
        <v>8</v>
      </c>
      <c r="B30" s="169" t="s">
        <v>9</v>
      </c>
      <c r="C30" s="169"/>
      <c r="D30" s="13"/>
    </row>
    <row r="31" spans="1:4" x14ac:dyDescent="0.2">
      <c r="A31" s="37" t="s">
        <v>10</v>
      </c>
      <c r="B31" s="169" t="s">
        <v>11</v>
      </c>
      <c r="C31" s="169"/>
      <c r="D31" s="13"/>
    </row>
    <row r="32" spans="1:4" x14ac:dyDescent="0.2">
      <c r="A32" s="37" t="s">
        <v>12</v>
      </c>
      <c r="B32" s="169" t="s">
        <v>13</v>
      </c>
      <c r="C32" s="169"/>
      <c r="D32" s="13"/>
    </row>
    <row r="33" spans="1:4" x14ac:dyDescent="0.2">
      <c r="A33" s="37"/>
      <c r="B33" s="169"/>
      <c r="C33" s="169"/>
      <c r="D33" s="13"/>
    </row>
    <row r="34" spans="1:4" x14ac:dyDescent="0.2">
      <c r="A34" s="37" t="s">
        <v>14</v>
      </c>
      <c r="B34" s="169" t="s">
        <v>15</v>
      </c>
      <c r="C34" s="169"/>
      <c r="D34" s="13"/>
    </row>
    <row r="35" spans="1:4" x14ac:dyDescent="0.2">
      <c r="A35" s="170" t="s">
        <v>16</v>
      </c>
      <c r="B35" s="170"/>
      <c r="C35" s="170"/>
      <c r="D35" s="20">
        <f>SUM(D28:D34)</f>
        <v>13356.03</v>
      </c>
    </row>
    <row r="38" spans="1:4" x14ac:dyDescent="0.2">
      <c r="A38" s="173" t="s">
        <v>17</v>
      </c>
      <c r="B38" s="173"/>
      <c r="C38" s="173"/>
      <c r="D38" s="173"/>
    </row>
    <row r="39" spans="1:4" x14ac:dyDescent="0.2">
      <c r="A39" s="3"/>
    </row>
    <row r="40" spans="1:4" x14ac:dyDescent="0.2">
      <c r="A40" s="171" t="s">
        <v>18</v>
      </c>
      <c r="B40" s="171"/>
      <c r="C40" s="171"/>
      <c r="D40" s="171"/>
    </row>
    <row r="42" spans="1:4" x14ac:dyDescent="0.2">
      <c r="A42" s="39" t="s">
        <v>19</v>
      </c>
      <c r="B42" s="170" t="s">
        <v>20</v>
      </c>
      <c r="C42" s="170"/>
      <c r="D42" s="39" t="s">
        <v>3</v>
      </c>
    </row>
    <row r="43" spans="1:4" x14ac:dyDescent="0.2">
      <c r="A43" s="37" t="s">
        <v>4</v>
      </c>
      <c r="B43" s="40" t="s">
        <v>21</v>
      </c>
      <c r="C43" s="12">
        <f>TRUNC(1/12,4)</f>
        <v>8.3299999999999999E-2</v>
      </c>
      <c r="D43" s="13">
        <f>TRUNC($D$35*C43,2)</f>
        <v>1112.55</v>
      </c>
    </row>
    <row r="44" spans="1:4" x14ac:dyDescent="0.2">
      <c r="A44" s="37" t="s">
        <v>6</v>
      </c>
      <c r="B44" s="40" t="s">
        <v>22</v>
      </c>
      <c r="C44" s="12">
        <f>TRUNC(((1+1/3)/12),4)</f>
        <v>0.1111</v>
      </c>
      <c r="D44" s="13">
        <f>TRUNC($D$35*C44,2)</f>
        <v>1483.85</v>
      </c>
    </row>
    <row r="45" spans="1:4" x14ac:dyDescent="0.2">
      <c r="A45" s="170" t="s">
        <v>16</v>
      </c>
      <c r="B45" s="170"/>
      <c r="C45" s="28">
        <f>SUM(C43:C44)</f>
        <v>0.19440000000000002</v>
      </c>
      <c r="D45" s="19">
        <f>SUM(D43:D44)</f>
        <v>2596.3999999999996</v>
      </c>
    </row>
    <row r="48" spans="1:4" x14ac:dyDescent="0.2">
      <c r="A48" s="175" t="s">
        <v>23</v>
      </c>
      <c r="B48" s="175"/>
      <c r="C48" s="175"/>
      <c r="D48" s="175"/>
    </row>
    <row r="50" spans="1:4" x14ac:dyDescent="0.2">
      <c r="A50" s="39" t="s">
        <v>24</v>
      </c>
      <c r="B50" s="39" t="s">
        <v>25</v>
      </c>
      <c r="C50" s="39" t="s">
        <v>26</v>
      </c>
      <c r="D50" s="39" t="s">
        <v>3</v>
      </c>
    </row>
    <row r="51" spans="1:4" x14ac:dyDescent="0.2">
      <c r="A51" s="37" t="s">
        <v>4</v>
      </c>
      <c r="B51" s="40" t="s">
        <v>27</v>
      </c>
      <c r="C51" s="9">
        <v>0.2</v>
      </c>
      <c r="D51" s="13">
        <f>TRUNC(($D$35+$D$45)*C51,2)</f>
        <v>3190.48</v>
      </c>
    </row>
    <row r="52" spans="1:4" x14ac:dyDescent="0.2">
      <c r="A52" s="37" t="s">
        <v>6</v>
      </c>
      <c r="B52" s="40" t="s">
        <v>28</v>
      </c>
      <c r="C52" s="9">
        <v>2.5000000000000001E-2</v>
      </c>
      <c r="D52" s="13">
        <f t="shared" ref="D52:D58" si="0">TRUNC(($D$35+$D$45)*C52,2)</f>
        <v>398.81</v>
      </c>
    </row>
    <row r="53" spans="1:4" x14ac:dyDescent="0.2">
      <c r="A53" s="37" t="s">
        <v>8</v>
      </c>
      <c r="B53" s="40" t="s">
        <v>29</v>
      </c>
      <c r="C53" s="16">
        <v>0.03</v>
      </c>
      <c r="D53" s="13">
        <f t="shared" si="0"/>
        <v>478.57</v>
      </c>
    </row>
    <row r="54" spans="1:4" x14ac:dyDescent="0.2">
      <c r="A54" s="37" t="s">
        <v>10</v>
      </c>
      <c r="B54" s="40" t="s">
        <v>30</v>
      </c>
      <c r="C54" s="9">
        <v>1.4999999999999999E-2</v>
      </c>
      <c r="D54" s="13">
        <f t="shared" si="0"/>
        <v>239.28</v>
      </c>
    </row>
    <row r="55" spans="1:4" x14ac:dyDescent="0.2">
      <c r="A55" s="37" t="s">
        <v>12</v>
      </c>
      <c r="B55" s="40" t="s">
        <v>31</v>
      </c>
      <c r="C55" s="9">
        <v>0.01</v>
      </c>
      <c r="D55" s="13">
        <f t="shared" si="0"/>
        <v>159.52000000000001</v>
      </c>
    </row>
    <row r="56" spans="1:4" x14ac:dyDescent="0.2">
      <c r="A56" s="37" t="s">
        <v>32</v>
      </c>
      <c r="B56" s="40" t="s">
        <v>33</v>
      </c>
      <c r="C56" s="9">
        <v>6.0000000000000001E-3</v>
      </c>
      <c r="D56" s="13">
        <f t="shared" si="0"/>
        <v>95.71</v>
      </c>
    </row>
    <row r="57" spans="1:4" x14ac:dyDescent="0.2">
      <c r="A57" s="37" t="s">
        <v>14</v>
      </c>
      <c r="B57" s="40" t="s">
        <v>34</v>
      </c>
      <c r="C57" s="9">
        <v>2E-3</v>
      </c>
      <c r="D57" s="13">
        <f t="shared" si="0"/>
        <v>31.9</v>
      </c>
    </row>
    <row r="58" spans="1:4" x14ac:dyDescent="0.2">
      <c r="A58" s="37" t="s">
        <v>35</v>
      </c>
      <c r="B58" s="40" t="s">
        <v>36</v>
      </c>
      <c r="C58" s="9">
        <v>0.08</v>
      </c>
      <c r="D58" s="13">
        <f t="shared" si="0"/>
        <v>1276.19</v>
      </c>
    </row>
    <row r="59" spans="1:4" x14ac:dyDescent="0.2">
      <c r="A59" s="170" t="s">
        <v>37</v>
      </c>
      <c r="B59" s="170"/>
      <c r="C59" s="15">
        <f>SUM(C51:C58)</f>
        <v>0.36800000000000005</v>
      </c>
      <c r="D59" s="19">
        <f>SUM(D51:D58)</f>
        <v>5870.4600000000009</v>
      </c>
    </row>
    <row r="62" spans="1:4" x14ac:dyDescent="0.2">
      <c r="A62" s="171" t="s">
        <v>38</v>
      </c>
      <c r="B62" s="171"/>
      <c r="C62" s="171"/>
      <c r="D62" s="171"/>
    </row>
    <row r="64" spans="1:4" x14ac:dyDescent="0.2">
      <c r="A64" s="39" t="s">
        <v>39</v>
      </c>
      <c r="B64" s="172" t="s">
        <v>40</v>
      </c>
      <c r="C64" s="172"/>
      <c r="D64" s="39" t="s">
        <v>3</v>
      </c>
    </row>
    <row r="65" spans="1:5" x14ac:dyDescent="0.2">
      <c r="A65" s="37" t="s">
        <v>4</v>
      </c>
      <c r="B65" s="169" t="s">
        <v>41</v>
      </c>
      <c r="C65" s="169"/>
      <c r="D65" s="13">
        <f>IF((22*2*5.6)-(D28*0.06)&gt;0,(22*2*5.6)-(D28*0.06),0)</f>
        <v>0</v>
      </c>
    </row>
    <row r="66" spans="1:5" x14ac:dyDescent="0.2">
      <c r="A66" s="37" t="s">
        <v>6</v>
      </c>
      <c r="B66" s="169" t="s">
        <v>42</v>
      </c>
      <c r="C66" s="169"/>
      <c r="D66" s="13">
        <v>0</v>
      </c>
    </row>
    <row r="67" spans="1:5" x14ac:dyDescent="0.2">
      <c r="A67" s="37" t="s">
        <v>8</v>
      </c>
      <c r="B67" s="169" t="s">
        <v>43</v>
      </c>
      <c r="C67" s="169"/>
      <c r="D67" s="13"/>
    </row>
    <row r="68" spans="1:5" x14ac:dyDescent="0.2">
      <c r="A68" s="37" t="s">
        <v>10</v>
      </c>
      <c r="B68" s="169" t="s">
        <v>15</v>
      </c>
      <c r="C68" s="169"/>
      <c r="D68" s="13"/>
    </row>
    <row r="69" spans="1:5" x14ac:dyDescent="0.2">
      <c r="A69" s="170" t="s">
        <v>16</v>
      </c>
      <c r="B69" s="170"/>
      <c r="C69" s="170"/>
      <c r="D69" s="19">
        <f>SUM(D65:D68)</f>
        <v>0</v>
      </c>
    </row>
    <row r="72" spans="1:5" x14ac:dyDescent="0.2">
      <c r="A72" s="171" t="s">
        <v>44</v>
      </c>
      <c r="B72" s="171"/>
      <c r="C72" s="171"/>
      <c r="D72" s="171"/>
    </row>
    <row r="74" spans="1:5" x14ac:dyDescent="0.2">
      <c r="A74" s="39">
        <v>2</v>
      </c>
      <c r="B74" s="172" t="s">
        <v>45</v>
      </c>
      <c r="C74" s="172"/>
      <c r="D74" s="39" t="s">
        <v>3</v>
      </c>
    </row>
    <row r="75" spans="1:5" x14ac:dyDescent="0.2">
      <c r="A75" s="37" t="s">
        <v>19</v>
      </c>
      <c r="B75" s="169" t="s">
        <v>20</v>
      </c>
      <c r="C75" s="169"/>
      <c r="D75" s="14">
        <f>D45</f>
        <v>2596.3999999999996</v>
      </c>
    </row>
    <row r="76" spans="1:5" x14ac:dyDescent="0.2">
      <c r="A76" s="37" t="s">
        <v>24</v>
      </c>
      <c r="B76" s="169" t="s">
        <v>25</v>
      </c>
      <c r="C76" s="169"/>
      <c r="D76" s="14">
        <f>D59</f>
        <v>5870.4600000000009</v>
      </c>
    </row>
    <row r="77" spans="1:5" x14ac:dyDescent="0.2">
      <c r="A77" s="37" t="s">
        <v>39</v>
      </c>
      <c r="B77" s="169" t="s">
        <v>40</v>
      </c>
      <c r="C77" s="169"/>
      <c r="D77" s="14">
        <f>D69</f>
        <v>0</v>
      </c>
    </row>
    <row r="78" spans="1:5" x14ac:dyDescent="0.2">
      <c r="A78" s="170" t="s">
        <v>16</v>
      </c>
      <c r="B78" s="170"/>
      <c r="C78" s="170"/>
      <c r="D78" s="19">
        <f>SUM(D75:D77)</f>
        <v>8466.86</v>
      </c>
    </row>
    <row r="79" spans="1:5" x14ac:dyDescent="0.2">
      <c r="A79" s="4"/>
      <c r="E79" s="18"/>
    </row>
    <row r="81" spans="1:5" x14ac:dyDescent="0.2">
      <c r="A81" s="173" t="s">
        <v>46</v>
      </c>
      <c r="B81" s="173"/>
      <c r="C81" s="173"/>
      <c r="D81" s="173"/>
      <c r="E81" s="17"/>
    </row>
    <row r="82" spans="1:5" ht="12.75" customHeight="1" x14ac:dyDescent="0.2">
      <c r="E82" s="18"/>
    </row>
    <row r="83" spans="1:5" x14ac:dyDescent="0.2">
      <c r="A83" s="39">
        <v>3</v>
      </c>
      <c r="B83" s="172" t="s">
        <v>47</v>
      </c>
      <c r="C83" s="172"/>
      <c r="D83" s="39" t="s">
        <v>3</v>
      </c>
    </row>
    <row r="84" spans="1:5" x14ac:dyDescent="0.2">
      <c r="A84" s="37" t="s">
        <v>4</v>
      </c>
      <c r="B84" s="10" t="s">
        <v>48</v>
      </c>
      <c r="C84" s="9">
        <f>TRUNC(((1/12)*5%),4)</f>
        <v>4.1000000000000003E-3</v>
      </c>
      <c r="D84" s="13">
        <f>TRUNC($D$35*C84,2)</f>
        <v>54.75</v>
      </c>
    </row>
    <row r="85" spans="1:5" x14ac:dyDescent="0.2">
      <c r="A85" s="37" t="s">
        <v>6</v>
      </c>
      <c r="B85" s="10" t="s">
        <v>49</v>
      </c>
      <c r="C85" s="9">
        <v>0.08</v>
      </c>
      <c r="D85" s="13">
        <f>TRUNC(D84*C85,2)</f>
        <v>4.38</v>
      </c>
    </row>
    <row r="86" spans="1:5" x14ac:dyDescent="0.2">
      <c r="A86" s="37" t="s">
        <v>8</v>
      </c>
      <c r="B86" s="10" t="s">
        <v>98</v>
      </c>
      <c r="C86" s="9">
        <f>TRUNC(8%*5%*40%,4)</f>
        <v>1.6000000000000001E-3</v>
      </c>
      <c r="D86" s="13">
        <f>TRUNC($D$35*C86,2)</f>
        <v>21.36</v>
      </c>
    </row>
    <row r="87" spans="1:5" x14ac:dyDescent="0.2">
      <c r="A87" s="37" t="s">
        <v>10</v>
      </c>
      <c r="B87" s="10" t="s">
        <v>50</v>
      </c>
      <c r="C87" s="9">
        <f>TRUNC(((7/30)/12)*95%,4)</f>
        <v>1.84E-2</v>
      </c>
      <c r="D87" s="13">
        <f>TRUNC($D$35*C87,2)</f>
        <v>245.75</v>
      </c>
    </row>
    <row r="88" spans="1:5" ht="25.5" x14ac:dyDescent="0.2">
      <c r="A88" s="37" t="s">
        <v>12</v>
      </c>
      <c r="B88" s="10" t="s">
        <v>93</v>
      </c>
      <c r="C88" s="9">
        <f>C59</f>
        <v>0.36800000000000005</v>
      </c>
      <c r="D88" s="13">
        <f>TRUNC(D87*C88,2)</f>
        <v>90.43</v>
      </c>
    </row>
    <row r="89" spans="1:5" x14ac:dyDescent="0.2">
      <c r="A89" s="37" t="s">
        <v>32</v>
      </c>
      <c r="B89" s="10" t="s">
        <v>99</v>
      </c>
      <c r="C89" s="9">
        <f>TRUNC(8%*95%*40%,4)</f>
        <v>3.04E-2</v>
      </c>
      <c r="D89" s="13">
        <f t="shared" ref="D89" si="1">TRUNC($D$35*C89,2)</f>
        <v>406.02</v>
      </c>
    </row>
    <row r="90" spans="1:5" x14ac:dyDescent="0.2">
      <c r="A90" s="176" t="s">
        <v>16</v>
      </c>
      <c r="B90" s="177"/>
      <c r="C90" s="178"/>
      <c r="D90" s="19">
        <f>SUM(D84:D89)</f>
        <v>822.69</v>
      </c>
    </row>
    <row r="93" spans="1:5" x14ac:dyDescent="0.2">
      <c r="A93" s="173" t="s">
        <v>51</v>
      </c>
      <c r="B93" s="173"/>
      <c r="C93" s="173"/>
      <c r="D93" s="173"/>
    </row>
    <row r="96" spans="1:5" x14ac:dyDescent="0.2">
      <c r="A96" s="171" t="s">
        <v>77</v>
      </c>
      <c r="B96" s="171"/>
      <c r="C96" s="171"/>
      <c r="D96" s="171"/>
    </row>
    <row r="97" spans="1:6" x14ac:dyDescent="0.2">
      <c r="A97" s="3"/>
    </row>
    <row r="98" spans="1:6" x14ac:dyDescent="0.2">
      <c r="A98" s="39" t="s">
        <v>52</v>
      </c>
      <c r="B98" s="172" t="s">
        <v>78</v>
      </c>
      <c r="C98" s="172"/>
      <c r="D98" s="39" t="s">
        <v>3</v>
      </c>
    </row>
    <row r="99" spans="1:6" x14ac:dyDescent="0.2">
      <c r="A99" s="37" t="s">
        <v>4</v>
      </c>
      <c r="B99" s="40" t="s">
        <v>79</v>
      </c>
      <c r="C99" s="9">
        <f>TRUNC(((1+1/3)/12)/12,4)*0</f>
        <v>0</v>
      </c>
      <c r="D99" s="13">
        <f>TRUNC(($D$35+$D$78+$D$90)*C99,2)</f>
        <v>0</v>
      </c>
    </row>
    <row r="100" spans="1:6" x14ac:dyDescent="0.2">
      <c r="A100" s="37" t="s">
        <v>6</v>
      </c>
      <c r="B100" s="40" t="s">
        <v>80</v>
      </c>
      <c r="C100" s="9">
        <f>TRUNC(((2/30)/12),4)*0</f>
        <v>0</v>
      </c>
      <c r="D100" s="13">
        <f t="shared" ref="D100:D104" si="2">TRUNC(($D$35+$D$78+$D$90)*C100,2)</f>
        <v>0</v>
      </c>
    </row>
    <row r="101" spans="1:6" x14ac:dyDescent="0.2">
      <c r="A101" s="37" t="s">
        <v>8</v>
      </c>
      <c r="B101" s="40" t="s">
        <v>81</v>
      </c>
      <c r="C101" s="9">
        <f>TRUNC(((5/30)/12)*2%,4)*0</f>
        <v>0</v>
      </c>
      <c r="D101" s="13">
        <f t="shared" si="2"/>
        <v>0</v>
      </c>
    </row>
    <row r="102" spans="1:6" x14ac:dyDescent="0.2">
      <c r="A102" s="37" t="s">
        <v>10</v>
      </c>
      <c r="B102" s="40" t="s">
        <v>82</v>
      </c>
      <c r="C102" s="9">
        <f>TRUNC(((15/30)/12)*8%,4)*0</f>
        <v>0</v>
      </c>
      <c r="D102" s="13">
        <f t="shared" si="2"/>
        <v>0</v>
      </c>
    </row>
    <row r="103" spans="1:6" x14ac:dyDescent="0.2">
      <c r="A103" s="37" t="s">
        <v>12</v>
      </c>
      <c r="B103" s="40" t="s">
        <v>83</v>
      </c>
      <c r="C103" s="9">
        <f>((1+1/3)/12)*3%*(4/12)</f>
        <v>1.1111111111111109E-3</v>
      </c>
      <c r="D103" s="13">
        <f t="shared" si="2"/>
        <v>25.16</v>
      </c>
    </row>
    <row r="104" spans="1:6" x14ac:dyDescent="0.2">
      <c r="A104" s="37" t="s">
        <v>32</v>
      </c>
      <c r="B104" s="40" t="s">
        <v>84</v>
      </c>
      <c r="C104" s="9"/>
      <c r="D104" s="13">
        <f t="shared" si="2"/>
        <v>0</v>
      </c>
    </row>
    <row r="105" spans="1:6" x14ac:dyDescent="0.2">
      <c r="A105" s="170" t="s">
        <v>37</v>
      </c>
      <c r="B105" s="170"/>
      <c r="C105" s="170"/>
      <c r="D105" s="19">
        <f>SUM(D99:D104)</f>
        <v>25.16</v>
      </c>
      <c r="E105" s="17"/>
      <c r="F105" s="17"/>
    </row>
    <row r="108" spans="1:6" x14ac:dyDescent="0.2">
      <c r="A108" s="171" t="s">
        <v>85</v>
      </c>
      <c r="B108" s="171"/>
      <c r="C108" s="171"/>
      <c r="D108" s="171"/>
    </row>
    <row r="109" spans="1:6" x14ac:dyDescent="0.2">
      <c r="A109" s="3"/>
    </row>
    <row r="110" spans="1:6" x14ac:dyDescent="0.2">
      <c r="A110" s="39" t="s">
        <v>53</v>
      </c>
      <c r="B110" s="172" t="s">
        <v>86</v>
      </c>
      <c r="C110" s="172"/>
      <c r="D110" s="39" t="s">
        <v>3</v>
      </c>
    </row>
    <row r="111" spans="1:6" x14ac:dyDescent="0.2">
      <c r="A111" s="37" t="s">
        <v>4</v>
      </c>
      <c r="B111" s="179" t="s">
        <v>87</v>
      </c>
      <c r="C111" s="180"/>
      <c r="D111" s="13">
        <f>((D35+D78+D90)/220)*22*0</f>
        <v>0</v>
      </c>
    </row>
    <row r="112" spans="1:6" x14ac:dyDescent="0.2">
      <c r="A112" s="170" t="s">
        <v>16</v>
      </c>
      <c r="B112" s="170"/>
      <c r="C112" s="170"/>
      <c r="D112" s="19">
        <f>SUM(D111)</f>
        <v>0</v>
      </c>
    </row>
    <row r="115" spans="1:4" x14ac:dyDescent="0.2">
      <c r="A115" s="171" t="s">
        <v>54</v>
      </c>
      <c r="B115" s="171"/>
      <c r="C115" s="171"/>
      <c r="D115" s="171"/>
    </row>
    <row r="116" spans="1:4" x14ac:dyDescent="0.2">
      <c r="A116" s="3"/>
    </row>
    <row r="117" spans="1:4" x14ac:dyDescent="0.2">
      <c r="A117" s="39">
        <v>4</v>
      </c>
      <c r="B117" s="170" t="s">
        <v>55</v>
      </c>
      <c r="C117" s="170"/>
      <c r="D117" s="39" t="s">
        <v>3</v>
      </c>
    </row>
    <row r="118" spans="1:4" x14ac:dyDescent="0.2">
      <c r="A118" s="37" t="s">
        <v>52</v>
      </c>
      <c r="B118" s="169" t="s">
        <v>78</v>
      </c>
      <c r="C118" s="169"/>
      <c r="D118" s="14">
        <f>D105</f>
        <v>25.16</v>
      </c>
    </row>
    <row r="119" spans="1:4" x14ac:dyDescent="0.2">
      <c r="A119" s="37" t="s">
        <v>53</v>
      </c>
      <c r="B119" s="169" t="s">
        <v>86</v>
      </c>
      <c r="C119" s="169"/>
      <c r="D119" s="14">
        <f>D112</f>
        <v>0</v>
      </c>
    </row>
    <row r="120" spans="1:4" x14ac:dyDescent="0.2">
      <c r="A120" s="170" t="s">
        <v>16</v>
      </c>
      <c r="B120" s="170"/>
      <c r="C120" s="170"/>
      <c r="D120" s="19">
        <f>SUM(D118:D119)</f>
        <v>25.16</v>
      </c>
    </row>
    <row r="123" spans="1:4" x14ac:dyDescent="0.2">
      <c r="A123" s="173" t="s">
        <v>56</v>
      </c>
      <c r="B123" s="173"/>
      <c r="C123" s="173"/>
      <c r="D123" s="173"/>
    </row>
    <row r="125" spans="1:4" x14ac:dyDescent="0.2">
      <c r="A125" s="39">
        <v>5</v>
      </c>
      <c r="B125" s="181" t="s">
        <v>57</v>
      </c>
      <c r="C125" s="181"/>
      <c r="D125" s="39" t="s">
        <v>3</v>
      </c>
    </row>
    <row r="126" spans="1:4" x14ac:dyDescent="0.2">
      <c r="A126" s="37" t="s">
        <v>4</v>
      </c>
      <c r="B126" s="40" t="s">
        <v>58</v>
      </c>
      <c r="C126" s="40"/>
      <c r="D126" s="13">
        <v>0.17</v>
      </c>
    </row>
    <row r="127" spans="1:4" x14ac:dyDescent="0.2">
      <c r="A127" s="37" t="s">
        <v>6</v>
      </c>
      <c r="B127" s="40" t="s">
        <v>59</v>
      </c>
      <c r="C127" s="40"/>
      <c r="D127" s="13"/>
    </row>
    <row r="128" spans="1:4" x14ac:dyDescent="0.2">
      <c r="A128" s="37" t="s">
        <v>8</v>
      </c>
      <c r="B128" s="40" t="s">
        <v>60</v>
      </c>
      <c r="C128" s="40"/>
      <c r="D128" s="13">
        <v>2.58</v>
      </c>
    </row>
    <row r="129" spans="1:4" x14ac:dyDescent="0.2">
      <c r="A129" s="37" t="s">
        <v>10</v>
      </c>
      <c r="B129" s="40" t="s">
        <v>113</v>
      </c>
      <c r="C129" s="40"/>
      <c r="D129" s="13">
        <v>16.45</v>
      </c>
    </row>
    <row r="130" spans="1:4" x14ac:dyDescent="0.2">
      <c r="A130" s="37" t="s">
        <v>12</v>
      </c>
      <c r="B130" s="40" t="s">
        <v>114</v>
      </c>
      <c r="C130" s="40"/>
      <c r="D130" s="13">
        <v>525.22</v>
      </c>
    </row>
    <row r="131" spans="1:4" x14ac:dyDescent="0.2">
      <c r="A131" s="170" t="s">
        <v>37</v>
      </c>
      <c r="B131" s="170"/>
      <c r="C131" s="170"/>
      <c r="D131" s="20">
        <f>SUM(D126:D130)</f>
        <v>544.42000000000007</v>
      </c>
    </row>
    <row r="134" spans="1:4" x14ac:dyDescent="0.2">
      <c r="A134" s="173" t="s">
        <v>61</v>
      </c>
      <c r="B134" s="173"/>
      <c r="C134" s="173"/>
      <c r="D134" s="173"/>
    </row>
    <row r="136" spans="1:4" x14ac:dyDescent="0.2">
      <c r="A136" s="39">
        <v>6</v>
      </c>
      <c r="B136" s="41" t="s">
        <v>62</v>
      </c>
      <c r="C136" s="39" t="s">
        <v>26</v>
      </c>
      <c r="D136" s="39" t="s">
        <v>3</v>
      </c>
    </row>
    <row r="137" spans="1:4" x14ac:dyDescent="0.2">
      <c r="A137" s="37" t="s">
        <v>4</v>
      </c>
      <c r="B137" s="40" t="s">
        <v>63</v>
      </c>
      <c r="C137" s="9">
        <v>0.05</v>
      </c>
      <c r="D137" s="14">
        <f>D157*C137</f>
        <v>1160.7579999999998</v>
      </c>
    </row>
    <row r="138" spans="1:4" x14ac:dyDescent="0.2">
      <c r="A138" s="37" t="s">
        <v>6</v>
      </c>
      <c r="B138" s="40" t="s">
        <v>64</v>
      </c>
      <c r="C138" s="9">
        <v>0.06</v>
      </c>
      <c r="D138" s="13">
        <f>(D157+D137)*C138</f>
        <v>1462.5550799999999</v>
      </c>
    </row>
    <row r="139" spans="1:4" x14ac:dyDescent="0.2">
      <c r="A139" s="37" t="s">
        <v>8</v>
      </c>
      <c r="B139" s="40" t="s">
        <v>65</v>
      </c>
      <c r="C139" s="12">
        <f>SUM(C140:C145)</f>
        <v>8.6499999999999994E-2</v>
      </c>
      <c r="D139" s="13">
        <f>(D157+D137+D138)*C139/(1-C139)</f>
        <v>2446.6643912643672</v>
      </c>
    </row>
    <row r="140" spans="1:4" x14ac:dyDescent="0.2">
      <c r="A140" s="37"/>
      <c r="B140" s="40" t="s">
        <v>66</v>
      </c>
      <c r="C140" s="9"/>
      <c r="D140" s="14">
        <f>$D$159*C140</f>
        <v>0</v>
      </c>
    </row>
    <row r="141" spans="1:4" x14ac:dyDescent="0.2">
      <c r="A141" s="37"/>
      <c r="B141" s="40" t="s">
        <v>95</v>
      </c>
      <c r="C141" s="9">
        <v>6.4999999999999997E-3</v>
      </c>
      <c r="D141" s="14">
        <f t="shared" ref="D141:D145" si="3">$D$159*C141</f>
        <v>183.85341</v>
      </c>
    </row>
    <row r="142" spans="1:4" x14ac:dyDescent="0.2">
      <c r="A142" s="37"/>
      <c r="B142" s="40" t="s">
        <v>96</v>
      </c>
      <c r="C142" s="9">
        <v>0.03</v>
      </c>
      <c r="D142" s="14">
        <f t="shared" si="3"/>
        <v>848.55419999999992</v>
      </c>
    </row>
    <row r="143" spans="1:4" x14ac:dyDescent="0.2">
      <c r="A143" s="37"/>
      <c r="B143" s="40" t="s">
        <v>67</v>
      </c>
      <c r="C143" s="37"/>
      <c r="D143" s="14">
        <f t="shared" si="3"/>
        <v>0</v>
      </c>
    </row>
    <row r="144" spans="1:4" x14ac:dyDescent="0.2">
      <c r="A144" s="37"/>
      <c r="B144" s="40" t="s">
        <v>68</v>
      </c>
      <c r="C144" s="9"/>
      <c r="D144" s="14">
        <f t="shared" si="3"/>
        <v>0</v>
      </c>
    </row>
    <row r="145" spans="1:4" x14ac:dyDescent="0.2">
      <c r="A145" s="37"/>
      <c r="B145" s="40" t="s">
        <v>97</v>
      </c>
      <c r="C145" s="9">
        <v>0.05</v>
      </c>
      <c r="D145" s="14">
        <f t="shared" si="3"/>
        <v>1414.2570000000001</v>
      </c>
    </row>
    <row r="146" spans="1:4" ht="13.5" x14ac:dyDescent="0.2">
      <c r="A146" s="176" t="s">
        <v>37</v>
      </c>
      <c r="B146" s="177"/>
      <c r="C146" s="21">
        <f>(1+C138)*(1+C137)/(1-C139)-1</f>
        <v>0.21839080459770144</v>
      </c>
      <c r="D146" s="19">
        <f>SUM(D137:D139)</f>
        <v>5069.9774712643666</v>
      </c>
    </row>
    <row r="149" spans="1:4" x14ac:dyDescent="0.2">
      <c r="A149" s="173" t="s">
        <v>109</v>
      </c>
      <c r="B149" s="173"/>
      <c r="C149" s="173"/>
      <c r="D149" s="173"/>
    </row>
    <row r="151" spans="1:4" x14ac:dyDescent="0.2">
      <c r="A151" s="39"/>
      <c r="B151" s="170" t="s">
        <v>69</v>
      </c>
      <c r="C151" s="170"/>
      <c r="D151" s="39" t="s">
        <v>3</v>
      </c>
    </row>
    <row r="152" spans="1:4" x14ac:dyDescent="0.2">
      <c r="A152" s="39" t="s">
        <v>4</v>
      </c>
      <c r="B152" s="169" t="s">
        <v>1</v>
      </c>
      <c r="C152" s="169"/>
      <c r="D152" s="22">
        <f>D35</f>
        <v>13356.03</v>
      </c>
    </row>
    <row r="153" spans="1:4" x14ac:dyDescent="0.2">
      <c r="A153" s="39" t="s">
        <v>6</v>
      </c>
      <c r="B153" s="169" t="s">
        <v>17</v>
      </c>
      <c r="C153" s="169"/>
      <c r="D153" s="22">
        <f>D78</f>
        <v>8466.86</v>
      </c>
    </row>
    <row r="154" spans="1:4" x14ac:dyDescent="0.2">
      <c r="A154" s="39" t="s">
        <v>8</v>
      </c>
      <c r="B154" s="169" t="s">
        <v>46</v>
      </c>
      <c r="C154" s="169"/>
      <c r="D154" s="22">
        <f>D90</f>
        <v>822.69</v>
      </c>
    </row>
    <row r="155" spans="1:4" x14ac:dyDescent="0.2">
      <c r="A155" s="39" t="s">
        <v>10</v>
      </c>
      <c r="B155" s="169" t="s">
        <v>51</v>
      </c>
      <c r="C155" s="169"/>
      <c r="D155" s="22">
        <f>D120</f>
        <v>25.16</v>
      </c>
    </row>
    <row r="156" spans="1:4" x14ac:dyDescent="0.2">
      <c r="A156" s="39" t="s">
        <v>12</v>
      </c>
      <c r="B156" s="169" t="s">
        <v>56</v>
      </c>
      <c r="C156" s="169"/>
      <c r="D156" s="22">
        <f>D131</f>
        <v>544.42000000000007</v>
      </c>
    </row>
    <row r="157" spans="1:4" x14ac:dyDescent="0.2">
      <c r="A157" s="170" t="s">
        <v>94</v>
      </c>
      <c r="B157" s="170"/>
      <c r="C157" s="170"/>
      <c r="D157" s="23">
        <f>SUM(D152:D156)</f>
        <v>23215.159999999996</v>
      </c>
    </row>
    <row r="158" spans="1:4" x14ac:dyDescent="0.2">
      <c r="A158" s="39" t="s">
        <v>32</v>
      </c>
      <c r="B158" s="169" t="s">
        <v>70</v>
      </c>
      <c r="C158" s="169"/>
      <c r="D158" s="24">
        <f>D146</f>
        <v>5069.9774712643666</v>
      </c>
    </row>
    <row r="159" spans="1:4" x14ac:dyDescent="0.2">
      <c r="A159" s="170" t="s">
        <v>71</v>
      </c>
      <c r="B159" s="170"/>
      <c r="C159" s="170"/>
      <c r="D159" s="23">
        <f>ROUND(SUM(D157:D158),2)</f>
        <v>28285.14</v>
      </c>
    </row>
  </sheetData>
  <mergeCells count="72">
    <mergeCell ref="A159:C159"/>
    <mergeCell ref="A134:D134"/>
    <mergeCell ref="A146:B146"/>
    <mergeCell ref="A149:D149"/>
    <mergeCell ref="B151:C151"/>
    <mergeCell ref="B152:C152"/>
    <mergeCell ref="B153:C153"/>
    <mergeCell ref="B154:C154"/>
    <mergeCell ref="B155:C155"/>
    <mergeCell ref="B156:C156"/>
    <mergeCell ref="A157:C157"/>
    <mergeCell ref="B158:C158"/>
    <mergeCell ref="A131:C131"/>
    <mergeCell ref="A108:D108"/>
    <mergeCell ref="B110:C110"/>
    <mergeCell ref="B111:C111"/>
    <mergeCell ref="A112:C112"/>
    <mergeCell ref="A115:D115"/>
    <mergeCell ref="B117:C117"/>
    <mergeCell ref="B118:C118"/>
    <mergeCell ref="B119:C119"/>
    <mergeCell ref="A120:C120"/>
    <mergeCell ref="A123:D123"/>
    <mergeCell ref="B125:C125"/>
    <mergeCell ref="A105:C105"/>
    <mergeCell ref="B74:C74"/>
    <mergeCell ref="B75:C75"/>
    <mergeCell ref="B76:C76"/>
    <mergeCell ref="B77:C77"/>
    <mergeCell ref="A78:C78"/>
    <mergeCell ref="A81:D81"/>
    <mergeCell ref="B83:C83"/>
    <mergeCell ref="A90:C90"/>
    <mergeCell ref="A93:D93"/>
    <mergeCell ref="A96:D96"/>
    <mergeCell ref="B98:C98"/>
    <mergeCell ref="A72:D72"/>
    <mergeCell ref="B42:C42"/>
    <mergeCell ref="A45:B45"/>
    <mergeCell ref="A48:D48"/>
    <mergeCell ref="A59:B59"/>
    <mergeCell ref="A62:D62"/>
    <mergeCell ref="B64:C64"/>
    <mergeCell ref="B65:C65"/>
    <mergeCell ref="B66:C66"/>
    <mergeCell ref="B67:C67"/>
    <mergeCell ref="B68:C68"/>
    <mergeCell ref="A69:C69"/>
    <mergeCell ref="A40:D40"/>
    <mergeCell ref="A25:D25"/>
    <mergeCell ref="B27:C27"/>
    <mergeCell ref="B28:C28"/>
    <mergeCell ref="B29:C29"/>
    <mergeCell ref="B30:C30"/>
    <mergeCell ref="B31:C31"/>
    <mergeCell ref="B32:C32"/>
    <mergeCell ref="B33:C33"/>
    <mergeCell ref="B34:C34"/>
    <mergeCell ref="A35:C35"/>
    <mergeCell ref="A38:D38"/>
    <mergeCell ref="C23:D23"/>
    <mergeCell ref="A1:D1"/>
    <mergeCell ref="A3:D3"/>
    <mergeCell ref="A5:D5"/>
    <mergeCell ref="A12:D12"/>
    <mergeCell ref="A14:B14"/>
    <mergeCell ref="A15:B15"/>
    <mergeCell ref="A17:D17"/>
    <mergeCell ref="C19:D19"/>
    <mergeCell ref="C20:D20"/>
    <mergeCell ref="C21:D21"/>
    <mergeCell ref="C22:D22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zoomScaleNormal="100" zoomScaleSheetLayoutView="100" workbookViewId="0">
      <selection activeCell="D46" sqref="D46"/>
    </sheetView>
  </sheetViews>
  <sheetFormatPr defaultRowHeight="12.75" x14ac:dyDescent="0.2"/>
  <cols>
    <col min="1" max="7" width="15.7109375" style="1" customWidth="1"/>
    <col min="8" max="16384" width="9.140625" style="1"/>
  </cols>
  <sheetData>
    <row r="1" spans="1:7" x14ac:dyDescent="0.2">
      <c r="A1" s="42" t="s">
        <v>148</v>
      </c>
    </row>
    <row r="2" spans="1:7" x14ac:dyDescent="0.2">
      <c r="A2" s="1" t="s">
        <v>121</v>
      </c>
    </row>
    <row r="3" spans="1:7" x14ac:dyDescent="0.2">
      <c r="A3" s="1" t="s">
        <v>122</v>
      </c>
    </row>
    <row r="4" spans="1:7" x14ac:dyDescent="0.2">
      <c r="A4" s="1" t="s">
        <v>123</v>
      </c>
    </row>
    <row r="5" spans="1:7" x14ac:dyDescent="0.2">
      <c r="A5" s="1" t="s">
        <v>124</v>
      </c>
    </row>
    <row r="6" spans="1:7" x14ac:dyDescent="0.2">
      <c r="A6" s="1" t="s">
        <v>125</v>
      </c>
    </row>
    <row r="7" spans="1:7" x14ac:dyDescent="0.2">
      <c r="A7" s="1" t="s">
        <v>126</v>
      </c>
    </row>
    <row r="8" spans="1:7" x14ac:dyDescent="0.2">
      <c r="A8" s="1" t="s">
        <v>127</v>
      </c>
    </row>
    <row r="9" spans="1:7" x14ac:dyDescent="0.2">
      <c r="A9" s="1" t="s">
        <v>128</v>
      </c>
    </row>
    <row r="10" spans="1:7" x14ac:dyDescent="0.2">
      <c r="A10" s="1" t="s">
        <v>129</v>
      </c>
    </row>
    <row r="11" spans="1:7" x14ac:dyDescent="0.2">
      <c r="A11" s="1" t="s">
        <v>130</v>
      </c>
    </row>
    <row r="12" spans="1:7" x14ac:dyDescent="0.2">
      <c r="A12" s="1" t="s">
        <v>131</v>
      </c>
    </row>
    <row r="13" spans="1:7" x14ac:dyDescent="0.2">
      <c r="A13" s="42" t="s">
        <v>132</v>
      </c>
    </row>
    <row r="14" spans="1:7" s="44" customFormat="1" ht="24.95" customHeight="1" x14ac:dyDescent="0.25">
      <c r="A14" s="43" t="s">
        <v>133</v>
      </c>
      <c r="B14" s="189" t="str">
        <f>engcivarq!A15</f>
        <v>Arquiteto ou Engenheiro Civil 40 horas semanais</v>
      </c>
      <c r="C14" s="190"/>
      <c r="D14" s="189" t="str">
        <f>engmec!A15</f>
        <v>Engenheiro Mecânico 40 horas semanais</v>
      </c>
      <c r="E14" s="190"/>
      <c r="F14" s="189" t="str">
        <f>engeletr!A15</f>
        <v>Engenheiro Eletricista 40 horas semanais</v>
      </c>
      <c r="G14" s="190"/>
    </row>
    <row r="15" spans="1:7" x14ac:dyDescent="0.2">
      <c r="A15" s="45" t="s">
        <v>134</v>
      </c>
      <c r="B15" s="46"/>
      <c r="C15" s="47">
        <f>engcivarq!D35</f>
        <v>13356.03</v>
      </c>
      <c r="D15" s="46"/>
      <c r="E15" s="47">
        <f>engmec!D35</f>
        <v>13356.03</v>
      </c>
      <c r="F15" s="46"/>
      <c r="G15" s="47">
        <f>engeletr!D35</f>
        <v>13356.03</v>
      </c>
    </row>
    <row r="16" spans="1:7" x14ac:dyDescent="0.2">
      <c r="A16" s="45" t="s">
        <v>135</v>
      </c>
      <c r="B16" s="46">
        <v>200</v>
      </c>
      <c r="C16" s="47">
        <f>ROUND(C15/B16,2)</f>
        <v>66.78</v>
      </c>
      <c r="D16" s="46">
        <v>200</v>
      </c>
      <c r="E16" s="47">
        <f>ROUND(E15/D16,2)</f>
        <v>66.78</v>
      </c>
      <c r="F16" s="46">
        <v>200</v>
      </c>
      <c r="G16" s="47">
        <f>ROUND(G15/F16,2)</f>
        <v>66.78</v>
      </c>
    </row>
    <row r="17" spans="1:7" x14ac:dyDescent="0.2">
      <c r="A17" s="45" t="s">
        <v>136</v>
      </c>
      <c r="B17" s="48">
        <f>engcivarq!C45</f>
        <v>0.19440000000000002</v>
      </c>
      <c r="C17" s="47">
        <f>ROUND(C16*B17,2)</f>
        <v>12.98</v>
      </c>
      <c r="D17" s="48">
        <f>engmec!C45</f>
        <v>0.19440000000000002</v>
      </c>
      <c r="E17" s="47">
        <f>ROUND(E16*D17,2)</f>
        <v>12.98</v>
      </c>
      <c r="F17" s="48">
        <f>engeletr!C45</f>
        <v>0.19440000000000002</v>
      </c>
      <c r="G17" s="47">
        <f>ROUND(G16*F17,2)</f>
        <v>12.98</v>
      </c>
    </row>
    <row r="18" spans="1:7" x14ac:dyDescent="0.2">
      <c r="A18" s="45" t="s">
        <v>137</v>
      </c>
      <c r="B18" s="46"/>
      <c r="C18" s="47">
        <f>SUM(C16:C17)</f>
        <v>79.760000000000005</v>
      </c>
      <c r="D18" s="46"/>
      <c r="E18" s="47">
        <f>SUM(E16:E17)</f>
        <v>79.760000000000005</v>
      </c>
      <c r="F18" s="46"/>
      <c r="G18" s="47">
        <f>SUM(G16:G17)</f>
        <v>79.760000000000005</v>
      </c>
    </row>
    <row r="19" spans="1:7" x14ac:dyDescent="0.2">
      <c r="A19" s="45" t="s">
        <v>138</v>
      </c>
      <c r="B19" s="48">
        <f>engcivarq!C59</f>
        <v>0.36800000000000005</v>
      </c>
      <c r="C19" s="47">
        <f>ROUND(C18*B19,2)</f>
        <v>29.35</v>
      </c>
      <c r="D19" s="48">
        <f>engmec!C59</f>
        <v>0.36800000000000005</v>
      </c>
      <c r="E19" s="47">
        <f>ROUND(E18*D19,2)</f>
        <v>29.35</v>
      </c>
      <c r="F19" s="48">
        <f>engeletr!C59</f>
        <v>0.36800000000000005</v>
      </c>
      <c r="G19" s="47">
        <f>ROUND(G18*F19,2)</f>
        <v>29.35</v>
      </c>
    </row>
    <row r="20" spans="1:7" x14ac:dyDescent="0.2">
      <c r="A20" s="45" t="s">
        <v>139</v>
      </c>
      <c r="B20" s="46"/>
      <c r="C20" s="47">
        <f>SUM(C18:C19)</f>
        <v>109.11000000000001</v>
      </c>
      <c r="D20" s="46"/>
      <c r="E20" s="47">
        <f>SUM(E18:E19)</f>
        <v>109.11000000000001</v>
      </c>
      <c r="F20" s="46"/>
      <c r="G20" s="47">
        <f>SUM(G18:G19)</f>
        <v>109.11000000000001</v>
      </c>
    </row>
    <row r="21" spans="1:7" x14ac:dyDescent="0.2">
      <c r="A21" s="45" t="s">
        <v>140</v>
      </c>
      <c r="B21" s="48">
        <f>engcivarq!C146</f>
        <v>0.21839080459770144</v>
      </c>
      <c r="C21" s="47">
        <f>ROUND(C20*B21,2)</f>
        <v>23.83</v>
      </c>
      <c r="D21" s="48">
        <f>engmec!C146</f>
        <v>0.21839080459770144</v>
      </c>
      <c r="E21" s="47">
        <f>ROUND(E20*D21,2)</f>
        <v>23.83</v>
      </c>
      <c r="F21" s="48">
        <f>engeletr!C146</f>
        <v>0.21839080459770144</v>
      </c>
      <c r="G21" s="47">
        <f>ROUND(G20*F21,2)</f>
        <v>23.83</v>
      </c>
    </row>
    <row r="22" spans="1:7" x14ac:dyDescent="0.2">
      <c r="A22" s="45" t="s">
        <v>141</v>
      </c>
      <c r="B22" s="46"/>
      <c r="C22" s="47">
        <f>SUM(C20:C21)</f>
        <v>132.94</v>
      </c>
      <c r="D22" s="46"/>
      <c r="E22" s="47">
        <f>SUM(E20:E21)</f>
        <v>132.94</v>
      </c>
      <c r="F22" s="46"/>
      <c r="G22" s="47">
        <f>SUM(G20:G21)</f>
        <v>132.94</v>
      </c>
    </row>
    <row r="23" spans="1:7" x14ac:dyDescent="0.2">
      <c r="A23" s="45" t="s">
        <v>151</v>
      </c>
      <c r="B23" s="49">
        <v>0.5</v>
      </c>
      <c r="C23" s="47">
        <f>ROUND(C22*(1+B23),2)</f>
        <v>199.41</v>
      </c>
      <c r="D23" s="49">
        <v>0.5</v>
      </c>
      <c r="E23" s="47">
        <f>ROUND(E22*(1+D23),2)</f>
        <v>199.41</v>
      </c>
      <c r="F23" s="49">
        <v>0.5</v>
      </c>
      <c r="G23" s="47">
        <f>ROUND(G22*(1+F23),2)</f>
        <v>199.41</v>
      </c>
    </row>
    <row r="24" spans="1:7" x14ac:dyDescent="0.2">
      <c r="A24" s="45" t="s">
        <v>142</v>
      </c>
      <c r="B24" s="49">
        <v>1</v>
      </c>
      <c r="C24" s="47">
        <f>ROUND(C22*(1+B24),2)</f>
        <v>265.88</v>
      </c>
      <c r="D24" s="49">
        <v>1</v>
      </c>
      <c r="E24" s="47">
        <f>ROUND(E22*(1+D24),2)</f>
        <v>265.88</v>
      </c>
      <c r="F24" s="49">
        <v>1</v>
      </c>
      <c r="G24" s="47">
        <f>ROUND(G22*(1+F24),2)</f>
        <v>265.88</v>
      </c>
    </row>
    <row r="25" spans="1:7" x14ac:dyDescent="0.2">
      <c r="A25" s="42" t="s">
        <v>152</v>
      </c>
      <c r="B25" s="50"/>
      <c r="C25" s="17"/>
      <c r="D25" s="50"/>
      <c r="E25" s="17"/>
      <c r="F25" s="50"/>
      <c r="G25" s="17"/>
    </row>
    <row r="26" spans="1:7" ht="24.75" customHeight="1" x14ac:dyDescent="0.2">
      <c r="A26" s="51" t="s">
        <v>133</v>
      </c>
      <c r="B26" s="189" t="str">
        <f>B14</f>
        <v>Arquiteto ou Engenheiro Civil 40 horas semanais</v>
      </c>
      <c r="C26" s="190"/>
      <c r="D26" s="189" t="str">
        <f t="shared" ref="D26" si="0">D14</f>
        <v>Engenheiro Mecânico 40 horas semanais</v>
      </c>
      <c r="E26" s="190"/>
      <c r="F26" s="189" t="str">
        <f t="shared" ref="F26" si="1">F14</f>
        <v>Engenheiro Eletricista 40 horas semanais</v>
      </c>
      <c r="G26" s="190"/>
    </row>
    <row r="27" spans="1:7" x14ac:dyDescent="0.2">
      <c r="A27" s="46" t="s">
        <v>150</v>
      </c>
      <c r="B27" s="46">
        <v>5</v>
      </c>
      <c r="C27" s="47">
        <f>B27*C23</f>
        <v>997.05</v>
      </c>
      <c r="D27" s="46">
        <v>5</v>
      </c>
      <c r="E27" s="47">
        <f>D27*E23</f>
        <v>997.05</v>
      </c>
      <c r="F27" s="46">
        <v>5</v>
      </c>
      <c r="G27" s="47">
        <f>F27*G23</f>
        <v>997.05</v>
      </c>
    </row>
    <row r="28" spans="1:7" x14ac:dyDescent="0.2">
      <c r="A28" s="46" t="s">
        <v>143</v>
      </c>
      <c r="B28" s="46">
        <v>2</v>
      </c>
      <c r="C28" s="47">
        <f>B28*C24</f>
        <v>531.76</v>
      </c>
      <c r="D28" s="46">
        <v>2</v>
      </c>
      <c r="E28" s="47">
        <f>D28*E24</f>
        <v>531.76</v>
      </c>
      <c r="F28" s="46">
        <v>2</v>
      </c>
      <c r="G28" s="47">
        <f>F28*G24</f>
        <v>531.76</v>
      </c>
    </row>
    <row r="29" spans="1:7" x14ac:dyDescent="0.2">
      <c r="A29" s="46" t="s">
        <v>149</v>
      </c>
      <c r="B29" s="46"/>
      <c r="C29" s="47">
        <f>SUM(C27:C28)</f>
        <v>1528.81</v>
      </c>
      <c r="D29" s="46"/>
      <c r="E29" s="47">
        <f>SUM(E27:E28)</f>
        <v>1528.81</v>
      </c>
      <c r="F29" s="46"/>
      <c r="G29" s="47">
        <f>SUM(G27:G28)</f>
        <v>1528.81</v>
      </c>
    </row>
    <row r="30" spans="1:7" x14ac:dyDescent="0.2">
      <c r="A30" s="46" t="s">
        <v>144</v>
      </c>
      <c r="B30" s="46">
        <f>engcivarq!D15</f>
        <v>5</v>
      </c>
      <c r="C30" s="47">
        <f>C29*B30</f>
        <v>7644.0499999999993</v>
      </c>
      <c r="D30" s="46">
        <f>engmec!D15</f>
        <v>1</v>
      </c>
      <c r="E30" s="47">
        <f>E29*D30</f>
        <v>1528.81</v>
      </c>
      <c r="F30" s="46">
        <f>engeletr!D15</f>
        <v>3</v>
      </c>
      <c r="G30" s="47">
        <f>G29*F30</f>
        <v>4586.43</v>
      </c>
    </row>
    <row r="31" spans="1:7" x14ac:dyDescent="0.2">
      <c r="A31" s="42" t="s">
        <v>146</v>
      </c>
    </row>
    <row r="32" spans="1:7" ht="24.75" customHeight="1" x14ac:dyDescent="0.2">
      <c r="A32" s="53" t="s">
        <v>133</v>
      </c>
      <c r="B32" s="191" t="str">
        <f>B14</f>
        <v>Arquiteto ou Engenheiro Civil 40 horas semanais</v>
      </c>
      <c r="C32" s="190"/>
      <c r="D32" s="191" t="str">
        <f>D14</f>
        <v>Engenheiro Mecânico 40 horas semanais</v>
      </c>
      <c r="E32" s="190"/>
      <c r="F32" s="191" t="str">
        <f>F14</f>
        <v>Engenheiro Eletricista 40 horas semanais</v>
      </c>
      <c r="G32" s="190"/>
    </row>
    <row r="33" spans="1:7" x14ac:dyDescent="0.2">
      <c r="A33" s="54" t="s">
        <v>153</v>
      </c>
      <c r="B33" s="46" t="s">
        <v>147</v>
      </c>
      <c r="C33" s="47">
        <f>C30*24</f>
        <v>183457.19999999998</v>
      </c>
      <c r="D33" s="46" t="s">
        <v>147</v>
      </c>
      <c r="E33" s="47">
        <f>E30*24</f>
        <v>36691.440000000002</v>
      </c>
      <c r="F33" s="46" t="s">
        <v>147</v>
      </c>
      <c r="G33" s="47">
        <f>G30*24</f>
        <v>110074.32</v>
      </c>
    </row>
  </sheetData>
  <mergeCells count="9">
    <mergeCell ref="B14:C14"/>
    <mergeCell ref="D14:E14"/>
    <mergeCell ref="F14:G14"/>
    <mergeCell ref="B32:C32"/>
    <mergeCell ref="D32:E32"/>
    <mergeCell ref="F32:G32"/>
    <mergeCell ref="B26:C26"/>
    <mergeCell ref="D26:E26"/>
    <mergeCell ref="F26:G26"/>
  </mergeCells>
  <printOptions horizontalCentered="1"/>
  <pageMargins left="0.51181102362204722" right="0.51181102362204722" top="0.98425196850393704" bottom="0.78740157480314965" header="0.31496062992125984" footer="0.31496062992125984"/>
  <pageSetup paperSize="9" scale="82" fitToHeight="0" orientation="landscape" r:id="rId1"/>
  <headerFooter>
    <oddHeader>&amp;C&amp;G</oddHeader>
    <oddFooter>&amp;L&amp;"-,Negrito"Documento elaborado em &amp;D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R51"/>
  <sheetViews>
    <sheetView zoomScaleNormal="100" workbookViewId="0">
      <selection activeCell="F11" sqref="F11"/>
    </sheetView>
  </sheetViews>
  <sheetFormatPr defaultColWidth="8.5703125" defaultRowHeight="12.75" x14ac:dyDescent="0.2"/>
  <cols>
    <col min="1" max="18" width="13.5703125" style="76" customWidth="1"/>
    <col min="19" max="1006" width="8.5703125" style="76"/>
    <col min="1007" max="16384" width="8.5703125" style="75"/>
  </cols>
  <sheetData>
    <row r="1" spans="1:19" x14ac:dyDescent="0.2">
      <c r="A1" s="136" t="s">
        <v>203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4"/>
      <c r="S1" s="75"/>
    </row>
    <row r="2" spans="1:19" x14ac:dyDescent="0.2">
      <c r="A2" s="135" t="s">
        <v>202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4"/>
      <c r="S2" s="75"/>
    </row>
    <row r="3" spans="1:19" x14ac:dyDescent="0.2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75"/>
      <c r="Q3" s="75"/>
      <c r="R3" s="118"/>
      <c r="S3" s="75"/>
    </row>
    <row r="4" spans="1:19" s="128" customFormat="1" ht="11.25" x14ac:dyDescent="0.25">
      <c r="A4" s="133" t="s">
        <v>201</v>
      </c>
      <c r="B4" s="132"/>
      <c r="C4" s="132"/>
      <c r="D4" s="132"/>
      <c r="E4" s="132"/>
      <c r="F4" s="132"/>
      <c r="G4" s="131"/>
      <c r="H4" s="131"/>
      <c r="I4" s="131"/>
      <c r="J4" s="131"/>
      <c r="K4" s="131"/>
      <c r="P4" s="130"/>
      <c r="Q4" s="130"/>
      <c r="R4" s="129"/>
    </row>
    <row r="5" spans="1:19" x14ac:dyDescent="0.2">
      <c r="A5" s="125" t="s">
        <v>200</v>
      </c>
      <c r="B5" s="124"/>
      <c r="C5" s="124"/>
      <c r="D5" s="124"/>
      <c r="E5" s="123"/>
      <c r="F5" s="121">
        <v>65</v>
      </c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118"/>
      <c r="S5" s="75"/>
    </row>
    <row r="6" spans="1:19" x14ac:dyDescent="0.2">
      <c r="A6" s="125" t="s">
        <v>199</v>
      </c>
      <c r="B6" s="124"/>
      <c r="C6" s="124"/>
      <c r="D6" s="124"/>
      <c r="E6" s="123"/>
      <c r="F6" s="121">
        <v>4</v>
      </c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118"/>
      <c r="S6" s="75"/>
    </row>
    <row r="7" spans="1:19" x14ac:dyDescent="0.2">
      <c r="A7" s="125" t="s">
        <v>198</v>
      </c>
      <c r="B7" s="124"/>
      <c r="C7" s="124"/>
      <c r="D7" s="124"/>
      <c r="E7" s="123"/>
      <c r="F7" s="121">
        <v>162.4</v>
      </c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118"/>
      <c r="S7" s="75"/>
    </row>
    <row r="8" spans="1:19" x14ac:dyDescent="0.2">
      <c r="A8" s="125" t="s">
        <v>197</v>
      </c>
      <c r="B8" s="124"/>
      <c r="C8" s="124"/>
      <c r="D8" s="124"/>
      <c r="E8" s="123"/>
      <c r="F8" s="127" t="s">
        <v>196</v>
      </c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118"/>
      <c r="S8" s="75"/>
    </row>
    <row r="9" spans="1:19" x14ac:dyDescent="0.2">
      <c r="A9" s="125" t="s">
        <v>195</v>
      </c>
      <c r="B9" s="124"/>
      <c r="C9" s="124"/>
      <c r="D9" s="124"/>
      <c r="E9" s="123"/>
      <c r="F9" s="126">
        <v>5.99</v>
      </c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118"/>
      <c r="S9" s="75"/>
    </row>
    <row r="10" spans="1:19" x14ac:dyDescent="0.2">
      <c r="A10" s="125" t="s">
        <v>194</v>
      </c>
      <c r="B10" s="124"/>
      <c r="C10" s="124"/>
      <c r="D10" s="124"/>
      <c r="E10" s="123"/>
      <c r="F10" s="121">
        <v>10</v>
      </c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118"/>
      <c r="S10" s="75"/>
    </row>
    <row r="11" spans="1:19" x14ac:dyDescent="0.2">
      <c r="A11" s="125" t="s">
        <v>193</v>
      </c>
      <c r="B11" s="124"/>
      <c r="C11" s="124"/>
      <c r="D11" s="124"/>
      <c r="E11" s="123"/>
      <c r="F11" s="122">
        <v>249</v>
      </c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118"/>
      <c r="S11" s="75"/>
    </row>
    <row r="12" spans="1:19" x14ac:dyDescent="0.2">
      <c r="A12" s="192" t="s">
        <v>223</v>
      </c>
      <c r="B12" s="193"/>
      <c r="C12" s="193"/>
      <c r="D12" s="193"/>
      <c r="E12" s="194"/>
      <c r="F12" s="121">
        <v>31.93</v>
      </c>
      <c r="G12" s="75"/>
      <c r="H12" s="75"/>
      <c r="I12" s="75"/>
      <c r="J12" s="75"/>
      <c r="K12" s="75"/>
      <c r="L12" s="75"/>
      <c r="M12" s="75"/>
      <c r="N12" s="75"/>
      <c r="O12" s="75"/>
      <c r="P12" s="120"/>
      <c r="Q12" s="75"/>
      <c r="R12" s="118"/>
      <c r="S12" s="75"/>
    </row>
    <row r="13" spans="1:19" x14ac:dyDescent="0.2">
      <c r="A13" s="119"/>
      <c r="B13" s="119"/>
      <c r="C13" s="119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118"/>
      <c r="S13" s="75"/>
    </row>
    <row r="14" spans="1:19" s="83" customFormat="1" ht="90" x14ac:dyDescent="0.25">
      <c r="A14" s="111" t="s">
        <v>192</v>
      </c>
      <c r="B14" s="111" t="s">
        <v>191</v>
      </c>
      <c r="C14" s="111" t="s">
        <v>190</v>
      </c>
      <c r="D14" s="117" t="s">
        <v>189</v>
      </c>
      <c r="E14" s="116" t="s">
        <v>188</v>
      </c>
      <c r="F14" s="115" t="s">
        <v>187</v>
      </c>
      <c r="G14" s="114" t="s">
        <v>186</v>
      </c>
      <c r="H14" s="114" t="s">
        <v>185</v>
      </c>
      <c r="I14" s="114" t="s">
        <v>184</v>
      </c>
      <c r="J14" s="114" t="s">
        <v>183</v>
      </c>
      <c r="K14" s="111" t="s">
        <v>182</v>
      </c>
      <c r="L14" s="111" t="s">
        <v>181</v>
      </c>
      <c r="M14" s="113" t="s">
        <v>180</v>
      </c>
      <c r="N14" s="111" t="s">
        <v>179</v>
      </c>
      <c r="O14" s="111" t="s">
        <v>178</v>
      </c>
      <c r="P14" s="112" t="s">
        <v>177</v>
      </c>
      <c r="Q14" s="111" t="s">
        <v>176</v>
      </c>
      <c r="R14" s="110" t="s">
        <v>175</v>
      </c>
    </row>
    <row r="15" spans="1:19" s="104" customFormat="1" ht="11.25" x14ac:dyDescent="0.25">
      <c r="A15" s="105" t="s">
        <v>174</v>
      </c>
      <c r="B15" s="105" t="s">
        <v>174</v>
      </c>
      <c r="C15" s="105" t="s">
        <v>173</v>
      </c>
      <c r="D15" s="107" t="s">
        <v>172</v>
      </c>
      <c r="E15" s="109" t="s">
        <v>172</v>
      </c>
      <c r="F15" s="108" t="s">
        <v>172</v>
      </c>
      <c r="G15" s="107" t="s">
        <v>171</v>
      </c>
      <c r="H15" s="107" t="s">
        <v>170</v>
      </c>
      <c r="I15" s="105" t="s">
        <v>170</v>
      </c>
      <c r="J15" s="105"/>
      <c r="K15" s="105" t="s">
        <v>169</v>
      </c>
      <c r="L15" s="105" t="s">
        <v>169</v>
      </c>
      <c r="M15" s="105" t="s">
        <v>169</v>
      </c>
      <c r="N15" s="105" t="s">
        <v>169</v>
      </c>
      <c r="O15" s="105" t="s">
        <v>169</v>
      </c>
      <c r="P15" s="106">
        <f>engcivarq!C146</f>
        <v>0.21839080459770144</v>
      </c>
      <c r="Q15" s="105" t="s">
        <v>169</v>
      </c>
      <c r="R15" s="105" t="s">
        <v>169</v>
      </c>
    </row>
    <row r="16" spans="1:19" s="104" customFormat="1" ht="11.25" x14ac:dyDescent="0.25">
      <c r="A16" s="102">
        <v>100</v>
      </c>
      <c r="B16" s="101">
        <v>20</v>
      </c>
      <c r="C16" s="100">
        <f t="shared" ref="C16:C37" si="0">(A16+B16)/$F$10</f>
        <v>12</v>
      </c>
      <c r="D16" s="99">
        <f t="shared" ref="D16:D37" si="1">+(A16+B16)/$F$5</f>
        <v>1.8461538461538463</v>
      </c>
      <c r="E16" s="98">
        <v>4</v>
      </c>
      <c r="F16" s="97">
        <f t="shared" ref="F16:F37" si="2">+D16+E16</f>
        <v>5.8461538461538467</v>
      </c>
      <c r="G16" s="96">
        <f t="shared" ref="G16:G37" si="3">+F16/8</f>
        <v>0.73076923076923084</v>
      </c>
      <c r="H16" s="95">
        <f t="shared" ref="H16:H37" si="4">ROUNDUP(G16,0)</f>
        <v>1</v>
      </c>
      <c r="I16" s="94">
        <f t="shared" ref="I16:I37" si="5">+H16-0.5</f>
        <v>0.5</v>
      </c>
      <c r="J16" s="94">
        <v>2</v>
      </c>
      <c r="K16" s="91">
        <f t="shared" ref="K16:K37" si="6">+C16*$F$9</f>
        <v>71.88</v>
      </c>
      <c r="L16" s="93">
        <f t="shared" ref="L16:L37" si="7">+H16*$F$7</f>
        <v>162.4</v>
      </c>
      <c r="M16" s="93">
        <f t="shared" ref="M16:M37" si="8">+I16*J16*$F$11</f>
        <v>249</v>
      </c>
      <c r="N16" s="93">
        <f t="shared" ref="N16:N37" si="9">+(ROUNDUP(F16,0))*$F$12</f>
        <v>191.57999999999998</v>
      </c>
      <c r="O16" s="92">
        <f t="shared" ref="O16:O37" si="10">+K16+L16+M16+N16</f>
        <v>674.8599999999999</v>
      </c>
      <c r="P16" s="91">
        <f t="shared" ref="P16:P37" si="11">+O16*$P$15</f>
        <v>147.38321839080476</v>
      </c>
      <c r="Q16" s="90">
        <f t="shared" ref="Q16:Q37" si="12">+O16+P16</f>
        <v>822.24321839080471</v>
      </c>
      <c r="R16" s="89">
        <f t="shared" ref="R16:R37" si="13">+Q16/H16</f>
        <v>822.24321839080471</v>
      </c>
      <c r="S16" s="88"/>
    </row>
    <row r="17" spans="1:19" s="104" customFormat="1" ht="11.25" x14ac:dyDescent="0.25">
      <c r="A17" s="102">
        <v>200</v>
      </c>
      <c r="B17" s="101">
        <v>20</v>
      </c>
      <c r="C17" s="100">
        <f t="shared" si="0"/>
        <v>22</v>
      </c>
      <c r="D17" s="99">
        <f t="shared" si="1"/>
        <v>3.3846153846153846</v>
      </c>
      <c r="E17" s="98">
        <v>4</v>
      </c>
      <c r="F17" s="97">
        <f t="shared" si="2"/>
        <v>7.384615384615385</v>
      </c>
      <c r="G17" s="96">
        <f t="shared" si="3"/>
        <v>0.92307692307692313</v>
      </c>
      <c r="H17" s="95">
        <f t="shared" si="4"/>
        <v>1</v>
      </c>
      <c r="I17" s="94">
        <f t="shared" si="5"/>
        <v>0.5</v>
      </c>
      <c r="J17" s="94">
        <v>2</v>
      </c>
      <c r="K17" s="91">
        <f t="shared" si="6"/>
        <v>131.78</v>
      </c>
      <c r="L17" s="93">
        <f t="shared" si="7"/>
        <v>162.4</v>
      </c>
      <c r="M17" s="93">
        <f t="shared" si="8"/>
        <v>249</v>
      </c>
      <c r="N17" s="93">
        <f t="shared" si="9"/>
        <v>255.44</v>
      </c>
      <c r="O17" s="92">
        <f t="shared" si="10"/>
        <v>798.62000000000012</v>
      </c>
      <c r="P17" s="91">
        <f t="shared" si="11"/>
        <v>174.41126436781636</v>
      </c>
      <c r="Q17" s="90">
        <f t="shared" si="12"/>
        <v>973.03126436781645</v>
      </c>
      <c r="R17" s="89">
        <f t="shared" si="13"/>
        <v>973.03126436781645</v>
      </c>
      <c r="S17" s="88"/>
    </row>
    <row r="18" spans="1:19" s="83" customFormat="1" ht="11.25" x14ac:dyDescent="0.25">
      <c r="A18" s="102">
        <v>300</v>
      </c>
      <c r="B18" s="101">
        <v>20</v>
      </c>
      <c r="C18" s="100">
        <f t="shared" si="0"/>
        <v>32</v>
      </c>
      <c r="D18" s="99">
        <f t="shared" si="1"/>
        <v>4.9230769230769234</v>
      </c>
      <c r="E18" s="98">
        <v>4</v>
      </c>
      <c r="F18" s="97">
        <f t="shared" si="2"/>
        <v>8.9230769230769234</v>
      </c>
      <c r="G18" s="96">
        <f t="shared" si="3"/>
        <v>1.1153846153846154</v>
      </c>
      <c r="H18" s="95">
        <f t="shared" si="4"/>
        <v>2</v>
      </c>
      <c r="I18" s="94">
        <f t="shared" si="5"/>
        <v>1.5</v>
      </c>
      <c r="J18" s="94">
        <v>2</v>
      </c>
      <c r="K18" s="91">
        <f t="shared" si="6"/>
        <v>191.68</v>
      </c>
      <c r="L18" s="93">
        <f t="shared" si="7"/>
        <v>324.8</v>
      </c>
      <c r="M18" s="93">
        <f t="shared" si="8"/>
        <v>747</v>
      </c>
      <c r="N18" s="93">
        <f t="shared" si="9"/>
        <v>287.37</v>
      </c>
      <c r="O18" s="92">
        <f t="shared" si="10"/>
        <v>1550.85</v>
      </c>
      <c r="P18" s="91">
        <f t="shared" si="11"/>
        <v>338.69137931034527</v>
      </c>
      <c r="Q18" s="90">
        <f t="shared" si="12"/>
        <v>1889.5413793103453</v>
      </c>
      <c r="R18" s="89">
        <f t="shared" si="13"/>
        <v>944.77068965517265</v>
      </c>
      <c r="S18" s="103"/>
    </row>
    <row r="19" spans="1:19" s="83" customFormat="1" ht="11.25" x14ac:dyDescent="0.25">
      <c r="A19" s="102">
        <v>400</v>
      </c>
      <c r="B19" s="101">
        <v>20</v>
      </c>
      <c r="C19" s="100">
        <f t="shared" si="0"/>
        <v>42</v>
      </c>
      <c r="D19" s="99">
        <f t="shared" si="1"/>
        <v>6.4615384615384617</v>
      </c>
      <c r="E19" s="98">
        <v>4</v>
      </c>
      <c r="F19" s="97">
        <f t="shared" si="2"/>
        <v>10.461538461538462</v>
      </c>
      <c r="G19" s="96">
        <f t="shared" si="3"/>
        <v>1.3076923076923077</v>
      </c>
      <c r="H19" s="95">
        <f t="shared" si="4"/>
        <v>2</v>
      </c>
      <c r="I19" s="94">
        <f t="shared" si="5"/>
        <v>1.5</v>
      </c>
      <c r="J19" s="94">
        <v>2</v>
      </c>
      <c r="K19" s="91">
        <f t="shared" si="6"/>
        <v>251.58</v>
      </c>
      <c r="L19" s="93">
        <f t="shared" si="7"/>
        <v>324.8</v>
      </c>
      <c r="M19" s="93">
        <f t="shared" si="8"/>
        <v>747</v>
      </c>
      <c r="N19" s="93">
        <f t="shared" si="9"/>
        <v>351.23</v>
      </c>
      <c r="O19" s="92">
        <f t="shared" si="10"/>
        <v>1674.6100000000001</v>
      </c>
      <c r="P19" s="91">
        <f t="shared" si="11"/>
        <v>365.71942528735684</v>
      </c>
      <c r="Q19" s="90">
        <f t="shared" si="12"/>
        <v>2040.329425287357</v>
      </c>
      <c r="R19" s="89">
        <f t="shared" si="13"/>
        <v>1020.1647126436785</v>
      </c>
      <c r="S19" s="88"/>
    </row>
    <row r="20" spans="1:19" s="83" customFormat="1" ht="11.25" x14ac:dyDescent="0.25">
      <c r="A20" s="102">
        <v>500</v>
      </c>
      <c r="B20" s="101">
        <v>20</v>
      </c>
      <c r="C20" s="100">
        <f t="shared" si="0"/>
        <v>52</v>
      </c>
      <c r="D20" s="99">
        <f t="shared" si="1"/>
        <v>8</v>
      </c>
      <c r="E20" s="98">
        <v>4</v>
      </c>
      <c r="F20" s="97">
        <f t="shared" si="2"/>
        <v>12</v>
      </c>
      <c r="G20" s="96">
        <f t="shared" si="3"/>
        <v>1.5</v>
      </c>
      <c r="H20" s="95">
        <f t="shared" si="4"/>
        <v>2</v>
      </c>
      <c r="I20" s="94">
        <f t="shared" si="5"/>
        <v>1.5</v>
      </c>
      <c r="J20" s="94">
        <v>2</v>
      </c>
      <c r="K20" s="91">
        <f t="shared" si="6"/>
        <v>311.48</v>
      </c>
      <c r="L20" s="93">
        <f t="shared" si="7"/>
        <v>324.8</v>
      </c>
      <c r="M20" s="93">
        <f t="shared" si="8"/>
        <v>747</v>
      </c>
      <c r="N20" s="93">
        <f t="shared" si="9"/>
        <v>383.15999999999997</v>
      </c>
      <c r="O20" s="92">
        <f t="shared" si="10"/>
        <v>1766.44</v>
      </c>
      <c r="P20" s="91">
        <f t="shared" si="11"/>
        <v>385.77425287356374</v>
      </c>
      <c r="Q20" s="90">
        <f t="shared" si="12"/>
        <v>2152.214252873564</v>
      </c>
      <c r="R20" s="89">
        <f t="shared" si="13"/>
        <v>1076.107126436782</v>
      </c>
      <c r="S20" s="88"/>
    </row>
    <row r="21" spans="1:19" s="83" customFormat="1" ht="11.25" x14ac:dyDescent="0.25">
      <c r="A21" s="102">
        <v>600</v>
      </c>
      <c r="B21" s="101">
        <v>20</v>
      </c>
      <c r="C21" s="100">
        <f t="shared" si="0"/>
        <v>62</v>
      </c>
      <c r="D21" s="99">
        <f t="shared" si="1"/>
        <v>9.5384615384615383</v>
      </c>
      <c r="E21" s="98">
        <v>4</v>
      </c>
      <c r="F21" s="97">
        <f t="shared" si="2"/>
        <v>13.538461538461538</v>
      </c>
      <c r="G21" s="96">
        <f t="shared" si="3"/>
        <v>1.6923076923076923</v>
      </c>
      <c r="H21" s="95">
        <f t="shared" si="4"/>
        <v>2</v>
      </c>
      <c r="I21" s="94">
        <f t="shared" si="5"/>
        <v>1.5</v>
      </c>
      <c r="J21" s="94">
        <v>2</v>
      </c>
      <c r="K21" s="91">
        <f t="shared" si="6"/>
        <v>371.38</v>
      </c>
      <c r="L21" s="93">
        <f t="shared" si="7"/>
        <v>324.8</v>
      </c>
      <c r="M21" s="93">
        <f t="shared" si="8"/>
        <v>747</v>
      </c>
      <c r="N21" s="93">
        <f t="shared" si="9"/>
        <v>447.02</v>
      </c>
      <c r="O21" s="92">
        <f t="shared" si="10"/>
        <v>1890.2</v>
      </c>
      <c r="P21" s="91">
        <f t="shared" si="11"/>
        <v>412.80229885057526</v>
      </c>
      <c r="Q21" s="90">
        <f t="shared" si="12"/>
        <v>2303.0022988505752</v>
      </c>
      <c r="R21" s="89">
        <f t="shared" si="13"/>
        <v>1151.5011494252876</v>
      </c>
      <c r="S21" s="88"/>
    </row>
    <row r="22" spans="1:19" s="83" customFormat="1" ht="11.25" x14ac:dyDescent="0.25">
      <c r="A22" s="102">
        <v>700</v>
      </c>
      <c r="B22" s="101">
        <v>20</v>
      </c>
      <c r="C22" s="100">
        <f t="shared" si="0"/>
        <v>72</v>
      </c>
      <c r="D22" s="99">
        <f t="shared" si="1"/>
        <v>11.076923076923077</v>
      </c>
      <c r="E22" s="98">
        <v>4</v>
      </c>
      <c r="F22" s="97">
        <f t="shared" si="2"/>
        <v>15.076923076923077</v>
      </c>
      <c r="G22" s="96">
        <f t="shared" si="3"/>
        <v>1.8846153846153846</v>
      </c>
      <c r="H22" s="95">
        <f t="shared" si="4"/>
        <v>2</v>
      </c>
      <c r="I22" s="94">
        <f t="shared" si="5"/>
        <v>1.5</v>
      </c>
      <c r="J22" s="94">
        <v>2</v>
      </c>
      <c r="K22" s="91">
        <f t="shared" si="6"/>
        <v>431.28000000000003</v>
      </c>
      <c r="L22" s="93">
        <f t="shared" si="7"/>
        <v>324.8</v>
      </c>
      <c r="M22" s="93">
        <f t="shared" si="8"/>
        <v>747</v>
      </c>
      <c r="N22" s="93">
        <f t="shared" si="9"/>
        <v>510.88</v>
      </c>
      <c r="O22" s="92">
        <f t="shared" si="10"/>
        <v>2013.96</v>
      </c>
      <c r="P22" s="91">
        <f t="shared" si="11"/>
        <v>439.83034482758677</v>
      </c>
      <c r="Q22" s="90">
        <f t="shared" si="12"/>
        <v>2453.790344827587</v>
      </c>
      <c r="R22" s="89">
        <f t="shared" si="13"/>
        <v>1226.8951724137935</v>
      </c>
      <c r="S22" s="88"/>
    </row>
    <row r="23" spans="1:19" s="83" customFormat="1" ht="11.25" x14ac:dyDescent="0.25">
      <c r="A23" s="102">
        <v>800</v>
      </c>
      <c r="B23" s="101">
        <v>20</v>
      </c>
      <c r="C23" s="100">
        <f t="shared" si="0"/>
        <v>82</v>
      </c>
      <c r="D23" s="99">
        <f t="shared" si="1"/>
        <v>12.615384615384615</v>
      </c>
      <c r="E23" s="98">
        <v>4</v>
      </c>
      <c r="F23" s="97">
        <f t="shared" si="2"/>
        <v>16.615384615384613</v>
      </c>
      <c r="G23" s="96">
        <f t="shared" si="3"/>
        <v>2.0769230769230766</v>
      </c>
      <c r="H23" s="95">
        <f t="shared" si="4"/>
        <v>3</v>
      </c>
      <c r="I23" s="94">
        <f t="shared" si="5"/>
        <v>2.5</v>
      </c>
      <c r="J23" s="94">
        <v>2</v>
      </c>
      <c r="K23" s="91">
        <f t="shared" si="6"/>
        <v>491.18</v>
      </c>
      <c r="L23" s="93">
        <f t="shared" si="7"/>
        <v>487.20000000000005</v>
      </c>
      <c r="M23" s="93">
        <f t="shared" si="8"/>
        <v>1245</v>
      </c>
      <c r="N23" s="93">
        <f t="shared" si="9"/>
        <v>542.80999999999995</v>
      </c>
      <c r="O23" s="92">
        <f t="shared" si="10"/>
        <v>2766.19</v>
      </c>
      <c r="P23" s="91">
        <f t="shared" si="11"/>
        <v>604.11045977011577</v>
      </c>
      <c r="Q23" s="90">
        <f t="shared" si="12"/>
        <v>3370.3004597701156</v>
      </c>
      <c r="R23" s="89">
        <f t="shared" si="13"/>
        <v>1123.4334865900385</v>
      </c>
      <c r="S23" s="88"/>
    </row>
    <row r="24" spans="1:19" s="83" customFormat="1" ht="11.25" x14ac:dyDescent="0.25">
      <c r="A24" s="102">
        <v>900</v>
      </c>
      <c r="B24" s="101">
        <v>20</v>
      </c>
      <c r="C24" s="100">
        <f t="shared" si="0"/>
        <v>92</v>
      </c>
      <c r="D24" s="99">
        <f t="shared" si="1"/>
        <v>14.153846153846153</v>
      </c>
      <c r="E24" s="98">
        <v>4</v>
      </c>
      <c r="F24" s="97">
        <f t="shared" si="2"/>
        <v>18.153846153846153</v>
      </c>
      <c r="G24" s="96">
        <f t="shared" si="3"/>
        <v>2.2692307692307692</v>
      </c>
      <c r="H24" s="95">
        <f t="shared" si="4"/>
        <v>3</v>
      </c>
      <c r="I24" s="94">
        <f t="shared" si="5"/>
        <v>2.5</v>
      </c>
      <c r="J24" s="94">
        <v>2</v>
      </c>
      <c r="K24" s="91">
        <f t="shared" si="6"/>
        <v>551.08000000000004</v>
      </c>
      <c r="L24" s="93">
        <f t="shared" si="7"/>
        <v>487.20000000000005</v>
      </c>
      <c r="M24" s="93">
        <f t="shared" si="8"/>
        <v>1245</v>
      </c>
      <c r="N24" s="93">
        <f t="shared" si="9"/>
        <v>606.66999999999996</v>
      </c>
      <c r="O24" s="92">
        <f t="shared" si="10"/>
        <v>2889.9500000000003</v>
      </c>
      <c r="P24" s="91">
        <f t="shared" si="11"/>
        <v>631.13850574712728</v>
      </c>
      <c r="Q24" s="90">
        <f t="shared" si="12"/>
        <v>3521.0885057471278</v>
      </c>
      <c r="R24" s="89">
        <f t="shared" si="13"/>
        <v>1173.696168582376</v>
      </c>
      <c r="S24" s="88"/>
    </row>
    <row r="25" spans="1:19" s="83" customFormat="1" ht="11.25" x14ac:dyDescent="0.25">
      <c r="A25" s="102">
        <v>1000</v>
      </c>
      <c r="B25" s="101">
        <v>20</v>
      </c>
      <c r="C25" s="100">
        <f t="shared" si="0"/>
        <v>102</v>
      </c>
      <c r="D25" s="99">
        <f t="shared" si="1"/>
        <v>15.692307692307692</v>
      </c>
      <c r="E25" s="98">
        <v>4</v>
      </c>
      <c r="F25" s="97">
        <f t="shared" si="2"/>
        <v>19.692307692307693</v>
      </c>
      <c r="G25" s="96">
        <f t="shared" si="3"/>
        <v>2.4615384615384617</v>
      </c>
      <c r="H25" s="95">
        <f t="shared" si="4"/>
        <v>3</v>
      </c>
      <c r="I25" s="94">
        <f t="shared" si="5"/>
        <v>2.5</v>
      </c>
      <c r="J25" s="94">
        <v>2</v>
      </c>
      <c r="K25" s="91">
        <f t="shared" si="6"/>
        <v>610.98</v>
      </c>
      <c r="L25" s="93">
        <f t="shared" si="7"/>
        <v>487.20000000000005</v>
      </c>
      <c r="M25" s="93">
        <f t="shared" si="8"/>
        <v>1245</v>
      </c>
      <c r="N25" s="93">
        <f t="shared" si="9"/>
        <v>638.6</v>
      </c>
      <c r="O25" s="92">
        <f t="shared" si="10"/>
        <v>2981.78</v>
      </c>
      <c r="P25" s="91">
        <f t="shared" si="11"/>
        <v>651.19333333333418</v>
      </c>
      <c r="Q25" s="90">
        <f t="shared" si="12"/>
        <v>3632.9733333333343</v>
      </c>
      <c r="R25" s="89">
        <f t="shared" si="13"/>
        <v>1210.9911111111114</v>
      </c>
      <c r="S25" s="88"/>
    </row>
    <row r="26" spans="1:19" s="83" customFormat="1" ht="11.25" x14ac:dyDescent="0.25">
      <c r="A26" s="102">
        <v>1100</v>
      </c>
      <c r="B26" s="101">
        <v>20</v>
      </c>
      <c r="C26" s="100">
        <f t="shared" si="0"/>
        <v>112</v>
      </c>
      <c r="D26" s="99">
        <f t="shared" si="1"/>
        <v>17.23076923076923</v>
      </c>
      <c r="E26" s="98">
        <v>4</v>
      </c>
      <c r="F26" s="97">
        <f t="shared" si="2"/>
        <v>21.23076923076923</v>
      </c>
      <c r="G26" s="96">
        <f t="shared" si="3"/>
        <v>2.6538461538461537</v>
      </c>
      <c r="H26" s="95">
        <f t="shared" si="4"/>
        <v>3</v>
      </c>
      <c r="I26" s="94">
        <f t="shared" si="5"/>
        <v>2.5</v>
      </c>
      <c r="J26" s="94">
        <v>2</v>
      </c>
      <c r="K26" s="91">
        <f t="shared" si="6"/>
        <v>670.88</v>
      </c>
      <c r="L26" s="93">
        <f t="shared" si="7"/>
        <v>487.20000000000005</v>
      </c>
      <c r="M26" s="93">
        <f t="shared" si="8"/>
        <v>1245</v>
      </c>
      <c r="N26" s="93">
        <f t="shared" si="9"/>
        <v>702.46</v>
      </c>
      <c r="O26" s="92">
        <f t="shared" si="10"/>
        <v>3105.54</v>
      </c>
      <c r="P26" s="91">
        <f t="shared" si="11"/>
        <v>678.2213793103457</v>
      </c>
      <c r="Q26" s="90">
        <f t="shared" si="12"/>
        <v>3783.7613793103455</v>
      </c>
      <c r="R26" s="89">
        <f t="shared" si="13"/>
        <v>1261.2537931034485</v>
      </c>
      <c r="S26" s="88"/>
    </row>
    <row r="27" spans="1:19" s="83" customFormat="1" ht="11.25" x14ac:dyDescent="0.25">
      <c r="A27" s="102">
        <v>1200</v>
      </c>
      <c r="B27" s="101">
        <v>20</v>
      </c>
      <c r="C27" s="100">
        <f t="shared" si="0"/>
        <v>122</v>
      </c>
      <c r="D27" s="99">
        <f t="shared" si="1"/>
        <v>18.76923076923077</v>
      </c>
      <c r="E27" s="98">
        <v>4</v>
      </c>
      <c r="F27" s="97">
        <f t="shared" si="2"/>
        <v>22.76923076923077</v>
      </c>
      <c r="G27" s="96">
        <f t="shared" si="3"/>
        <v>2.8461538461538463</v>
      </c>
      <c r="H27" s="95">
        <f t="shared" si="4"/>
        <v>3</v>
      </c>
      <c r="I27" s="94">
        <f t="shared" si="5"/>
        <v>2.5</v>
      </c>
      <c r="J27" s="94">
        <v>2</v>
      </c>
      <c r="K27" s="91">
        <f t="shared" si="6"/>
        <v>730.78</v>
      </c>
      <c r="L27" s="93">
        <f t="shared" si="7"/>
        <v>487.20000000000005</v>
      </c>
      <c r="M27" s="93">
        <f t="shared" si="8"/>
        <v>1245</v>
      </c>
      <c r="N27" s="93">
        <f t="shared" si="9"/>
        <v>734.39</v>
      </c>
      <c r="O27" s="92">
        <f t="shared" si="10"/>
        <v>3197.37</v>
      </c>
      <c r="P27" s="91">
        <f t="shared" si="11"/>
        <v>698.27620689655259</v>
      </c>
      <c r="Q27" s="90">
        <f t="shared" si="12"/>
        <v>3895.6462068965525</v>
      </c>
      <c r="R27" s="89">
        <f t="shared" si="13"/>
        <v>1298.5487356321842</v>
      </c>
      <c r="S27" s="88"/>
    </row>
    <row r="28" spans="1:19" s="83" customFormat="1" ht="11.25" x14ac:dyDescent="0.25">
      <c r="A28" s="102">
        <v>1300</v>
      </c>
      <c r="B28" s="101">
        <v>20</v>
      </c>
      <c r="C28" s="100">
        <f t="shared" si="0"/>
        <v>132</v>
      </c>
      <c r="D28" s="99">
        <f t="shared" si="1"/>
        <v>20.307692307692307</v>
      </c>
      <c r="E28" s="98">
        <v>4</v>
      </c>
      <c r="F28" s="97">
        <f t="shared" si="2"/>
        <v>24.307692307692307</v>
      </c>
      <c r="G28" s="96">
        <f t="shared" si="3"/>
        <v>3.0384615384615383</v>
      </c>
      <c r="H28" s="95">
        <f t="shared" si="4"/>
        <v>4</v>
      </c>
      <c r="I28" s="94">
        <f t="shared" si="5"/>
        <v>3.5</v>
      </c>
      <c r="J28" s="94">
        <v>2</v>
      </c>
      <c r="K28" s="91">
        <f t="shared" si="6"/>
        <v>790.68000000000006</v>
      </c>
      <c r="L28" s="93">
        <f t="shared" si="7"/>
        <v>649.6</v>
      </c>
      <c r="M28" s="93">
        <f t="shared" si="8"/>
        <v>1743</v>
      </c>
      <c r="N28" s="93">
        <f t="shared" si="9"/>
        <v>798.25</v>
      </c>
      <c r="O28" s="92">
        <f t="shared" si="10"/>
        <v>3981.53</v>
      </c>
      <c r="P28" s="91">
        <f t="shared" si="11"/>
        <v>869.52954022988627</v>
      </c>
      <c r="Q28" s="90">
        <f t="shared" si="12"/>
        <v>4851.0595402298868</v>
      </c>
      <c r="R28" s="89">
        <f t="shared" si="13"/>
        <v>1212.7648850574717</v>
      </c>
      <c r="S28" s="88"/>
    </row>
    <row r="29" spans="1:19" s="83" customFormat="1" ht="11.25" x14ac:dyDescent="0.25">
      <c r="A29" s="102">
        <v>1400</v>
      </c>
      <c r="B29" s="101">
        <v>20</v>
      </c>
      <c r="C29" s="100">
        <f t="shared" si="0"/>
        <v>142</v>
      </c>
      <c r="D29" s="99">
        <f t="shared" si="1"/>
        <v>21.846153846153847</v>
      </c>
      <c r="E29" s="98">
        <v>4</v>
      </c>
      <c r="F29" s="97">
        <f t="shared" si="2"/>
        <v>25.846153846153847</v>
      </c>
      <c r="G29" s="96">
        <f t="shared" si="3"/>
        <v>3.2307692307692308</v>
      </c>
      <c r="H29" s="95">
        <f t="shared" si="4"/>
        <v>4</v>
      </c>
      <c r="I29" s="94">
        <f t="shared" si="5"/>
        <v>3.5</v>
      </c>
      <c r="J29" s="94">
        <v>2</v>
      </c>
      <c r="K29" s="91">
        <f t="shared" si="6"/>
        <v>850.58</v>
      </c>
      <c r="L29" s="93">
        <f t="shared" si="7"/>
        <v>649.6</v>
      </c>
      <c r="M29" s="93">
        <f t="shared" si="8"/>
        <v>1743</v>
      </c>
      <c r="N29" s="93">
        <f t="shared" si="9"/>
        <v>830.18</v>
      </c>
      <c r="O29" s="92">
        <f t="shared" si="10"/>
        <v>4073.36</v>
      </c>
      <c r="P29" s="91">
        <f t="shared" si="11"/>
        <v>889.58436781609316</v>
      </c>
      <c r="Q29" s="90">
        <f t="shared" si="12"/>
        <v>4962.9443678160933</v>
      </c>
      <c r="R29" s="89">
        <f t="shared" si="13"/>
        <v>1240.7360919540233</v>
      </c>
      <c r="S29" s="88"/>
    </row>
    <row r="30" spans="1:19" s="83" customFormat="1" ht="11.25" x14ac:dyDescent="0.25">
      <c r="A30" s="102">
        <v>1500</v>
      </c>
      <c r="B30" s="101">
        <v>20</v>
      </c>
      <c r="C30" s="100">
        <f t="shared" si="0"/>
        <v>152</v>
      </c>
      <c r="D30" s="99">
        <f t="shared" si="1"/>
        <v>23.384615384615383</v>
      </c>
      <c r="E30" s="98">
        <v>4</v>
      </c>
      <c r="F30" s="97">
        <f t="shared" si="2"/>
        <v>27.384615384615383</v>
      </c>
      <c r="G30" s="96">
        <f t="shared" si="3"/>
        <v>3.4230769230769229</v>
      </c>
      <c r="H30" s="95">
        <f t="shared" si="4"/>
        <v>4</v>
      </c>
      <c r="I30" s="94">
        <f t="shared" si="5"/>
        <v>3.5</v>
      </c>
      <c r="J30" s="94">
        <v>2</v>
      </c>
      <c r="K30" s="91">
        <f t="shared" si="6"/>
        <v>910.48</v>
      </c>
      <c r="L30" s="93">
        <f t="shared" si="7"/>
        <v>649.6</v>
      </c>
      <c r="M30" s="93">
        <f t="shared" si="8"/>
        <v>1743</v>
      </c>
      <c r="N30" s="93">
        <f t="shared" si="9"/>
        <v>894.04</v>
      </c>
      <c r="O30" s="92">
        <f t="shared" si="10"/>
        <v>4197.12</v>
      </c>
      <c r="P30" s="91">
        <f t="shared" si="11"/>
        <v>916.61241379310468</v>
      </c>
      <c r="Q30" s="90">
        <f t="shared" si="12"/>
        <v>5113.7324137931046</v>
      </c>
      <c r="R30" s="89">
        <f t="shared" si="13"/>
        <v>1278.4331034482761</v>
      </c>
      <c r="S30" s="88"/>
    </row>
    <row r="31" spans="1:19" s="83" customFormat="1" ht="11.25" x14ac:dyDescent="0.25">
      <c r="A31" s="102">
        <v>1600</v>
      </c>
      <c r="B31" s="101">
        <v>20</v>
      </c>
      <c r="C31" s="100">
        <f t="shared" si="0"/>
        <v>162</v>
      </c>
      <c r="D31" s="99">
        <f t="shared" si="1"/>
        <v>24.923076923076923</v>
      </c>
      <c r="E31" s="98">
        <v>4</v>
      </c>
      <c r="F31" s="97">
        <f t="shared" si="2"/>
        <v>28.923076923076923</v>
      </c>
      <c r="G31" s="96">
        <f t="shared" si="3"/>
        <v>3.6153846153846154</v>
      </c>
      <c r="H31" s="95">
        <f t="shared" si="4"/>
        <v>4</v>
      </c>
      <c r="I31" s="94">
        <f t="shared" si="5"/>
        <v>3.5</v>
      </c>
      <c r="J31" s="94">
        <v>2</v>
      </c>
      <c r="K31" s="91">
        <f t="shared" si="6"/>
        <v>970.38</v>
      </c>
      <c r="L31" s="93">
        <f t="shared" si="7"/>
        <v>649.6</v>
      </c>
      <c r="M31" s="93">
        <f t="shared" si="8"/>
        <v>1743</v>
      </c>
      <c r="N31" s="93">
        <f t="shared" si="9"/>
        <v>925.97</v>
      </c>
      <c r="O31" s="92">
        <f t="shared" si="10"/>
        <v>4288.95</v>
      </c>
      <c r="P31" s="91">
        <f t="shared" si="11"/>
        <v>936.66724137931158</v>
      </c>
      <c r="Q31" s="90">
        <f t="shared" si="12"/>
        <v>5225.6172413793111</v>
      </c>
      <c r="R31" s="89">
        <f t="shared" si="13"/>
        <v>1306.4043103448278</v>
      </c>
      <c r="S31" s="88"/>
    </row>
    <row r="32" spans="1:19" s="83" customFormat="1" ht="11.25" x14ac:dyDescent="0.25">
      <c r="A32" s="102">
        <v>1700</v>
      </c>
      <c r="B32" s="101">
        <v>20</v>
      </c>
      <c r="C32" s="100">
        <f t="shared" si="0"/>
        <v>172</v>
      </c>
      <c r="D32" s="99">
        <f t="shared" si="1"/>
        <v>26.46153846153846</v>
      </c>
      <c r="E32" s="98">
        <v>4</v>
      </c>
      <c r="F32" s="97">
        <f t="shared" si="2"/>
        <v>30.46153846153846</v>
      </c>
      <c r="G32" s="96">
        <f t="shared" si="3"/>
        <v>3.8076923076923075</v>
      </c>
      <c r="H32" s="95">
        <f t="shared" si="4"/>
        <v>4</v>
      </c>
      <c r="I32" s="94">
        <f t="shared" si="5"/>
        <v>3.5</v>
      </c>
      <c r="J32" s="94">
        <v>2</v>
      </c>
      <c r="K32" s="91">
        <f t="shared" si="6"/>
        <v>1030.28</v>
      </c>
      <c r="L32" s="93">
        <f t="shared" si="7"/>
        <v>649.6</v>
      </c>
      <c r="M32" s="93">
        <f t="shared" si="8"/>
        <v>1743</v>
      </c>
      <c r="N32" s="93">
        <f t="shared" si="9"/>
        <v>989.83</v>
      </c>
      <c r="O32" s="92">
        <f t="shared" si="10"/>
        <v>4412.71</v>
      </c>
      <c r="P32" s="91">
        <f t="shared" si="11"/>
        <v>963.69528735632309</v>
      </c>
      <c r="Q32" s="90">
        <f t="shared" si="12"/>
        <v>5376.4052873563232</v>
      </c>
      <c r="R32" s="89">
        <f t="shared" si="13"/>
        <v>1344.1013218390808</v>
      </c>
      <c r="S32" s="88"/>
    </row>
    <row r="33" spans="1:19" s="83" customFormat="1" ht="11.25" x14ac:dyDescent="0.25">
      <c r="A33" s="102">
        <v>1800</v>
      </c>
      <c r="B33" s="101">
        <v>20</v>
      </c>
      <c r="C33" s="100">
        <f t="shared" si="0"/>
        <v>182</v>
      </c>
      <c r="D33" s="99">
        <f t="shared" si="1"/>
        <v>28</v>
      </c>
      <c r="E33" s="98">
        <v>4</v>
      </c>
      <c r="F33" s="97">
        <f t="shared" si="2"/>
        <v>32</v>
      </c>
      <c r="G33" s="96">
        <f t="shared" si="3"/>
        <v>4</v>
      </c>
      <c r="H33" s="95">
        <f t="shared" si="4"/>
        <v>4</v>
      </c>
      <c r="I33" s="94">
        <f t="shared" si="5"/>
        <v>3.5</v>
      </c>
      <c r="J33" s="94">
        <v>2</v>
      </c>
      <c r="K33" s="91">
        <f t="shared" si="6"/>
        <v>1090.18</v>
      </c>
      <c r="L33" s="93">
        <f t="shared" si="7"/>
        <v>649.6</v>
      </c>
      <c r="M33" s="93">
        <f t="shared" si="8"/>
        <v>1743</v>
      </c>
      <c r="N33" s="93">
        <f t="shared" si="9"/>
        <v>1021.76</v>
      </c>
      <c r="O33" s="92">
        <f t="shared" si="10"/>
        <v>4504.54</v>
      </c>
      <c r="P33" s="91">
        <f t="shared" si="11"/>
        <v>983.75011494252999</v>
      </c>
      <c r="Q33" s="90">
        <f t="shared" si="12"/>
        <v>5488.2901149425297</v>
      </c>
      <c r="R33" s="89">
        <f t="shared" si="13"/>
        <v>1372.0725287356324</v>
      </c>
      <c r="S33" s="88"/>
    </row>
    <row r="34" spans="1:19" s="83" customFormat="1" ht="11.25" x14ac:dyDescent="0.25">
      <c r="A34" s="102">
        <v>1900</v>
      </c>
      <c r="B34" s="101">
        <v>20</v>
      </c>
      <c r="C34" s="100">
        <f t="shared" si="0"/>
        <v>192</v>
      </c>
      <c r="D34" s="99">
        <f t="shared" si="1"/>
        <v>29.53846153846154</v>
      </c>
      <c r="E34" s="98">
        <v>4</v>
      </c>
      <c r="F34" s="97">
        <f t="shared" si="2"/>
        <v>33.53846153846154</v>
      </c>
      <c r="G34" s="96">
        <f t="shared" si="3"/>
        <v>4.1923076923076925</v>
      </c>
      <c r="H34" s="95">
        <f t="shared" si="4"/>
        <v>5</v>
      </c>
      <c r="I34" s="94">
        <f t="shared" si="5"/>
        <v>4.5</v>
      </c>
      <c r="J34" s="94">
        <v>2</v>
      </c>
      <c r="K34" s="91">
        <f t="shared" si="6"/>
        <v>1150.08</v>
      </c>
      <c r="L34" s="93">
        <f t="shared" si="7"/>
        <v>812</v>
      </c>
      <c r="M34" s="93">
        <f t="shared" si="8"/>
        <v>2241</v>
      </c>
      <c r="N34" s="93">
        <f t="shared" si="9"/>
        <v>1085.6199999999999</v>
      </c>
      <c r="O34" s="92">
        <f t="shared" si="10"/>
        <v>5288.7</v>
      </c>
      <c r="P34" s="91">
        <f t="shared" si="11"/>
        <v>1155.0034482758635</v>
      </c>
      <c r="Q34" s="90">
        <f t="shared" si="12"/>
        <v>6443.7034482758636</v>
      </c>
      <c r="R34" s="89">
        <f t="shared" si="13"/>
        <v>1288.7406896551727</v>
      </c>
      <c r="S34" s="88"/>
    </row>
    <row r="35" spans="1:19" s="83" customFormat="1" ht="11.25" x14ac:dyDescent="0.25">
      <c r="A35" s="102">
        <v>2000</v>
      </c>
      <c r="B35" s="101">
        <v>20</v>
      </c>
      <c r="C35" s="100">
        <f t="shared" si="0"/>
        <v>202</v>
      </c>
      <c r="D35" s="99">
        <f t="shared" si="1"/>
        <v>31.076923076923077</v>
      </c>
      <c r="E35" s="98">
        <v>4</v>
      </c>
      <c r="F35" s="97">
        <f t="shared" si="2"/>
        <v>35.07692307692308</v>
      </c>
      <c r="G35" s="96">
        <f t="shared" si="3"/>
        <v>4.384615384615385</v>
      </c>
      <c r="H35" s="95">
        <f t="shared" si="4"/>
        <v>5</v>
      </c>
      <c r="I35" s="94">
        <f t="shared" si="5"/>
        <v>4.5</v>
      </c>
      <c r="J35" s="94">
        <v>2</v>
      </c>
      <c r="K35" s="91">
        <f t="shared" si="6"/>
        <v>1209.98</v>
      </c>
      <c r="L35" s="93">
        <f t="shared" si="7"/>
        <v>812</v>
      </c>
      <c r="M35" s="93">
        <f t="shared" si="8"/>
        <v>2241</v>
      </c>
      <c r="N35" s="93">
        <f t="shared" si="9"/>
        <v>1149.48</v>
      </c>
      <c r="O35" s="92">
        <f t="shared" si="10"/>
        <v>5412.4599999999991</v>
      </c>
      <c r="P35" s="91">
        <f t="shared" si="11"/>
        <v>1182.0314942528748</v>
      </c>
      <c r="Q35" s="90">
        <f t="shared" si="12"/>
        <v>6594.491494252874</v>
      </c>
      <c r="R35" s="89">
        <f t="shared" si="13"/>
        <v>1318.8982988505747</v>
      </c>
      <c r="S35" s="88"/>
    </row>
    <row r="36" spans="1:19" s="83" customFormat="1" ht="11.25" x14ac:dyDescent="0.25">
      <c r="A36" s="102">
        <v>2100</v>
      </c>
      <c r="B36" s="101">
        <v>20</v>
      </c>
      <c r="C36" s="100">
        <f t="shared" si="0"/>
        <v>212</v>
      </c>
      <c r="D36" s="99">
        <f t="shared" si="1"/>
        <v>32.615384615384613</v>
      </c>
      <c r="E36" s="98">
        <v>4</v>
      </c>
      <c r="F36" s="97">
        <f t="shared" si="2"/>
        <v>36.615384615384613</v>
      </c>
      <c r="G36" s="96">
        <f t="shared" si="3"/>
        <v>4.5769230769230766</v>
      </c>
      <c r="H36" s="95">
        <f t="shared" si="4"/>
        <v>5</v>
      </c>
      <c r="I36" s="94">
        <f t="shared" si="5"/>
        <v>4.5</v>
      </c>
      <c r="J36" s="94">
        <v>2</v>
      </c>
      <c r="K36" s="91">
        <f t="shared" si="6"/>
        <v>1269.8800000000001</v>
      </c>
      <c r="L36" s="93">
        <f t="shared" si="7"/>
        <v>812</v>
      </c>
      <c r="M36" s="93">
        <f t="shared" si="8"/>
        <v>2241</v>
      </c>
      <c r="N36" s="93">
        <f t="shared" si="9"/>
        <v>1181.4100000000001</v>
      </c>
      <c r="O36" s="92">
        <f t="shared" si="10"/>
        <v>5504.29</v>
      </c>
      <c r="P36" s="91">
        <f t="shared" si="11"/>
        <v>1202.0863218390821</v>
      </c>
      <c r="Q36" s="90">
        <f t="shared" si="12"/>
        <v>6706.3763218390823</v>
      </c>
      <c r="R36" s="89">
        <f t="shared" si="13"/>
        <v>1341.2752643678164</v>
      </c>
      <c r="S36" s="88"/>
    </row>
    <row r="37" spans="1:19" s="83" customFormat="1" ht="11.25" x14ac:dyDescent="0.25">
      <c r="A37" s="102">
        <v>2200</v>
      </c>
      <c r="B37" s="101">
        <v>20</v>
      </c>
      <c r="C37" s="100">
        <f t="shared" si="0"/>
        <v>222</v>
      </c>
      <c r="D37" s="99">
        <f t="shared" si="1"/>
        <v>34.153846153846153</v>
      </c>
      <c r="E37" s="98">
        <v>4</v>
      </c>
      <c r="F37" s="97">
        <f t="shared" si="2"/>
        <v>38.153846153846153</v>
      </c>
      <c r="G37" s="96">
        <f t="shared" si="3"/>
        <v>4.7692307692307692</v>
      </c>
      <c r="H37" s="95">
        <f t="shared" si="4"/>
        <v>5</v>
      </c>
      <c r="I37" s="94">
        <f t="shared" si="5"/>
        <v>4.5</v>
      </c>
      <c r="J37" s="94">
        <v>2</v>
      </c>
      <c r="K37" s="91">
        <f t="shared" si="6"/>
        <v>1329.78</v>
      </c>
      <c r="L37" s="93">
        <f t="shared" si="7"/>
        <v>812</v>
      </c>
      <c r="M37" s="93">
        <f t="shared" si="8"/>
        <v>2241</v>
      </c>
      <c r="N37" s="93">
        <f t="shared" si="9"/>
        <v>1245.27</v>
      </c>
      <c r="O37" s="92">
        <f t="shared" si="10"/>
        <v>5628.0499999999993</v>
      </c>
      <c r="P37" s="91">
        <f t="shared" si="11"/>
        <v>1229.1143678160934</v>
      </c>
      <c r="Q37" s="90">
        <f t="shared" si="12"/>
        <v>6857.1643678160926</v>
      </c>
      <c r="R37" s="89">
        <f t="shared" si="13"/>
        <v>1371.4328735632184</v>
      </c>
      <c r="S37" s="88"/>
    </row>
    <row r="38" spans="1:19" s="80" customFormat="1" ht="11.25" x14ac:dyDescent="0.2">
      <c r="D38" s="87"/>
      <c r="E38" s="86"/>
      <c r="F38" s="85"/>
      <c r="G38" s="84"/>
      <c r="H38" s="84"/>
      <c r="I38" s="84"/>
      <c r="J38" s="84"/>
      <c r="K38" s="84"/>
      <c r="P38" s="83"/>
      <c r="Q38" s="82"/>
      <c r="R38" s="81"/>
    </row>
    <row r="39" spans="1:19" x14ac:dyDescent="0.2">
      <c r="A39" s="75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9" t="s">
        <v>168</v>
      </c>
      <c r="R39" s="78">
        <f>AVERAGE(R16:R37)</f>
        <v>1198.0679998258447</v>
      </c>
      <c r="S39" s="75"/>
    </row>
    <row r="40" spans="1:19" x14ac:dyDescent="0.2">
      <c r="R40" s="77"/>
    </row>
    <row r="44" spans="1:19" s="76" customFormat="1" ht="11.25" x14ac:dyDescent="0.2"/>
    <row r="45" spans="1:19" s="76" customFormat="1" ht="11.25" x14ac:dyDescent="0.2"/>
    <row r="46" spans="1:19" s="76" customFormat="1" ht="11.25" x14ac:dyDescent="0.2"/>
    <row r="47" spans="1:19" s="76" customFormat="1" ht="11.25" x14ac:dyDescent="0.2"/>
    <row r="48" spans="1:19" s="76" customFormat="1" ht="11.25" x14ac:dyDescent="0.2"/>
    <row r="49" s="76" customFormat="1" ht="11.25" x14ac:dyDescent="0.2"/>
    <row r="51" s="76" customFormat="1" ht="11.25" x14ac:dyDescent="0.2"/>
  </sheetData>
  <mergeCells count="1">
    <mergeCell ref="A12:E12"/>
  </mergeCells>
  <pageMargins left="0.78740157480314965" right="0.78740157480314965" top="0.98425196850393704" bottom="0.98425196850393704" header="0.51181102362204722" footer="0.51181102362204722"/>
  <pageSetup paperSize="9" scale="52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9"/>
  <sheetViews>
    <sheetView zoomScaleNormal="100" workbookViewId="0">
      <selection activeCell="F11" sqref="F11"/>
    </sheetView>
  </sheetViews>
  <sheetFormatPr defaultColWidth="8" defaultRowHeight="12.75" x14ac:dyDescent="0.2"/>
  <cols>
    <col min="1" max="3" width="13.5703125" style="76" customWidth="1"/>
    <col min="4" max="4" width="13.5703125" style="141" customWidth="1"/>
    <col min="5" max="5" width="13.5703125" style="140" customWidth="1"/>
    <col min="6" max="6" width="13.5703125" style="139" customWidth="1"/>
    <col min="7" max="11" width="13.5703125" style="138" customWidth="1"/>
    <col min="12" max="15" width="13.5703125" style="76" customWidth="1"/>
    <col min="16" max="16" width="13.5703125" style="130" customWidth="1"/>
    <col min="17" max="17" width="13.5703125" style="134" customWidth="1"/>
    <col min="18" max="18" width="13.5703125" style="137" customWidth="1"/>
    <col min="19" max="1025" width="8" style="76"/>
    <col min="1026" max="16384" width="8" style="75"/>
  </cols>
  <sheetData>
    <row r="1" spans="1:19" x14ac:dyDescent="0.2">
      <c r="A1" s="136" t="s">
        <v>203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50"/>
    </row>
    <row r="2" spans="1:19" x14ac:dyDescent="0.2">
      <c r="A2" s="135" t="s">
        <v>208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50"/>
    </row>
    <row r="3" spans="1:19" x14ac:dyDescent="0.2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</row>
    <row r="4" spans="1:19" s="128" customFormat="1" ht="11.25" x14ac:dyDescent="0.25">
      <c r="A4" s="133" t="s">
        <v>201</v>
      </c>
      <c r="B4" s="132"/>
      <c r="C4" s="132"/>
      <c r="D4" s="132"/>
      <c r="E4" s="132"/>
      <c r="F4" s="132"/>
      <c r="G4" s="131"/>
      <c r="H4" s="131"/>
      <c r="I4" s="131"/>
      <c r="J4" s="131"/>
      <c r="K4" s="131"/>
      <c r="P4" s="130"/>
      <c r="Q4" s="130"/>
      <c r="R4" s="149"/>
    </row>
    <row r="5" spans="1:19" x14ac:dyDescent="0.2">
      <c r="A5" s="125" t="s">
        <v>200</v>
      </c>
      <c r="B5" s="124"/>
      <c r="C5" s="124"/>
      <c r="D5" s="124"/>
      <c r="E5" s="123"/>
      <c r="F5" s="121">
        <v>65</v>
      </c>
    </row>
    <row r="6" spans="1:19" x14ac:dyDescent="0.2">
      <c r="A6" s="125" t="s">
        <v>199</v>
      </c>
      <c r="B6" s="124"/>
      <c r="C6" s="124"/>
      <c r="D6" s="124"/>
      <c r="E6" s="123"/>
      <c r="F6" s="121">
        <v>4</v>
      </c>
    </row>
    <row r="7" spans="1:19" x14ac:dyDescent="0.2">
      <c r="A7" s="125" t="s">
        <v>198</v>
      </c>
      <c r="B7" s="124"/>
      <c r="C7" s="124"/>
      <c r="D7" s="124"/>
      <c r="E7" s="123"/>
      <c r="F7" s="121">
        <v>162.4</v>
      </c>
    </row>
    <row r="8" spans="1:19" x14ac:dyDescent="0.2">
      <c r="A8" s="125" t="s">
        <v>197</v>
      </c>
      <c r="B8" s="124"/>
      <c r="C8" s="124"/>
      <c r="D8" s="124"/>
      <c r="E8" s="123"/>
      <c r="F8" s="127" t="s">
        <v>196</v>
      </c>
    </row>
    <row r="9" spans="1:19" x14ac:dyDescent="0.2">
      <c r="A9" s="125" t="s">
        <v>195</v>
      </c>
      <c r="B9" s="124"/>
      <c r="C9" s="124"/>
      <c r="D9" s="124"/>
      <c r="E9" s="123"/>
      <c r="F9" s="126">
        <v>5.99</v>
      </c>
    </row>
    <row r="10" spans="1:19" x14ac:dyDescent="0.2">
      <c r="A10" s="125" t="s">
        <v>194</v>
      </c>
      <c r="B10" s="124"/>
      <c r="C10" s="124"/>
      <c r="D10" s="124"/>
      <c r="E10" s="123"/>
      <c r="F10" s="121">
        <v>10</v>
      </c>
    </row>
    <row r="11" spans="1:19" x14ac:dyDescent="0.2">
      <c r="A11" s="125" t="s">
        <v>193</v>
      </c>
      <c r="B11" s="124"/>
      <c r="C11" s="124"/>
      <c r="D11" s="124"/>
      <c r="E11" s="123"/>
      <c r="F11" s="122">
        <v>249</v>
      </c>
    </row>
    <row r="12" spans="1:19" x14ac:dyDescent="0.2">
      <c r="A12" s="192" t="s">
        <v>223</v>
      </c>
      <c r="B12" s="193"/>
      <c r="C12" s="193"/>
      <c r="D12" s="193"/>
      <c r="E12" s="194"/>
      <c r="F12" s="121">
        <v>31.93</v>
      </c>
    </row>
    <row r="13" spans="1:19" x14ac:dyDescent="0.2">
      <c r="A13" s="119"/>
      <c r="B13" s="119"/>
      <c r="C13" s="119"/>
    </row>
    <row r="14" spans="1:19" s="83" customFormat="1" ht="90" x14ac:dyDescent="0.25">
      <c r="A14" s="111" t="s">
        <v>192</v>
      </c>
      <c r="B14" s="148" t="s">
        <v>207</v>
      </c>
      <c r="C14" s="111" t="s">
        <v>190</v>
      </c>
      <c r="D14" s="117" t="s">
        <v>206</v>
      </c>
      <c r="E14" s="147" t="s">
        <v>205</v>
      </c>
      <c r="F14" s="115" t="s">
        <v>187</v>
      </c>
      <c r="G14" s="114" t="s">
        <v>186</v>
      </c>
      <c r="H14" s="114" t="s">
        <v>185</v>
      </c>
      <c r="I14" s="114" t="s">
        <v>184</v>
      </c>
      <c r="J14" s="114" t="s">
        <v>183</v>
      </c>
      <c r="K14" s="111" t="s">
        <v>182</v>
      </c>
      <c r="L14" s="111" t="s">
        <v>181</v>
      </c>
      <c r="M14" s="113" t="s">
        <v>180</v>
      </c>
      <c r="N14" s="111" t="s">
        <v>179</v>
      </c>
      <c r="O14" s="111" t="s">
        <v>178</v>
      </c>
      <c r="P14" s="112" t="s">
        <v>177</v>
      </c>
      <c r="Q14" s="111" t="s">
        <v>204</v>
      </c>
      <c r="R14" s="146" t="s">
        <v>175</v>
      </c>
    </row>
    <row r="15" spans="1:19" s="104" customFormat="1" ht="11.25" x14ac:dyDescent="0.25">
      <c r="A15" s="105" t="s">
        <v>174</v>
      </c>
      <c r="B15" s="105" t="s">
        <v>174</v>
      </c>
      <c r="C15" s="105" t="s">
        <v>173</v>
      </c>
      <c r="D15" s="107" t="s">
        <v>172</v>
      </c>
      <c r="E15" s="109" t="s">
        <v>172</v>
      </c>
      <c r="F15" s="108" t="s">
        <v>172</v>
      </c>
      <c r="G15" s="107" t="s">
        <v>171</v>
      </c>
      <c r="H15" s="107" t="s">
        <v>170</v>
      </c>
      <c r="I15" s="105" t="s">
        <v>170</v>
      </c>
      <c r="J15" s="105"/>
      <c r="K15" s="105" t="s">
        <v>169</v>
      </c>
      <c r="L15" s="105" t="s">
        <v>169</v>
      </c>
      <c r="M15" s="105" t="s">
        <v>169</v>
      </c>
      <c r="N15" s="105" t="s">
        <v>169</v>
      </c>
      <c r="O15" s="105" t="s">
        <v>169</v>
      </c>
      <c r="P15" s="106">
        <f>engcivarq!C146</f>
        <v>0.21839080459770144</v>
      </c>
      <c r="Q15" s="105" t="s">
        <v>169</v>
      </c>
      <c r="R15" s="105" t="s">
        <v>169</v>
      </c>
    </row>
    <row r="16" spans="1:19" s="104" customFormat="1" ht="11.25" x14ac:dyDescent="0.25">
      <c r="A16" s="102">
        <v>100</v>
      </c>
      <c r="B16" s="101">
        <v>40</v>
      </c>
      <c r="C16" s="100">
        <f t="shared" ref="C16:C45" si="0">((A16+B16)/10)</f>
        <v>14</v>
      </c>
      <c r="D16" s="99">
        <f t="shared" ref="D16:D45" si="1">((A16+B16)/80)</f>
        <v>1.75</v>
      </c>
      <c r="E16" s="98">
        <v>8</v>
      </c>
      <c r="F16" s="97">
        <f t="shared" ref="F16:F45" si="2">D16+E16</f>
        <v>9.75</v>
      </c>
      <c r="G16" s="96">
        <f t="shared" ref="G16:G45" si="3">F16/8</f>
        <v>1.21875</v>
      </c>
      <c r="H16" s="145">
        <f t="shared" ref="H16:H45" si="4">ROUNDUP(G16,0)</f>
        <v>2</v>
      </c>
      <c r="I16" s="94">
        <f t="shared" ref="I16:I45" si="5">H16-0.5</f>
        <v>1.5</v>
      </c>
      <c r="J16" s="94">
        <v>2</v>
      </c>
      <c r="K16" s="91">
        <f t="shared" ref="K16:K45" si="6">C16*$F$9</f>
        <v>83.86</v>
      </c>
      <c r="L16" s="93">
        <f t="shared" ref="L16:L45" si="7">H16*$F$7</f>
        <v>324.8</v>
      </c>
      <c r="M16" s="93">
        <f t="shared" ref="M16:M45" si="8">(I16*$F$11)*J16</f>
        <v>747</v>
      </c>
      <c r="N16" s="93">
        <f t="shared" ref="N16:N45" si="9">+(ROUNDUP(F16,0))*$F$12</f>
        <v>319.3</v>
      </c>
      <c r="O16" s="92">
        <f t="shared" ref="O16:O45" si="10">K16+L16+M16+N16</f>
        <v>1474.96</v>
      </c>
      <c r="P16" s="91">
        <f t="shared" ref="P16:P45" si="11">O16*$P$15</f>
        <v>322.11770114942573</v>
      </c>
      <c r="Q16" s="90">
        <f t="shared" ref="Q16:Q45" si="12">O16+P16</f>
        <v>1797.0777011494258</v>
      </c>
      <c r="R16" s="144">
        <f t="shared" ref="R16:R45" si="13">Q16/H16</f>
        <v>898.53885057471291</v>
      </c>
      <c r="S16" s="88"/>
    </row>
    <row r="17" spans="1:19" s="104" customFormat="1" ht="11.25" x14ac:dyDescent="0.25">
      <c r="A17" s="102">
        <v>200</v>
      </c>
      <c r="B17" s="101">
        <v>40</v>
      </c>
      <c r="C17" s="100">
        <f t="shared" si="0"/>
        <v>24</v>
      </c>
      <c r="D17" s="99">
        <f t="shared" si="1"/>
        <v>3</v>
      </c>
      <c r="E17" s="98">
        <v>8</v>
      </c>
      <c r="F17" s="97">
        <f t="shared" si="2"/>
        <v>11</v>
      </c>
      <c r="G17" s="96">
        <f t="shared" si="3"/>
        <v>1.375</v>
      </c>
      <c r="H17" s="145">
        <f t="shared" si="4"/>
        <v>2</v>
      </c>
      <c r="I17" s="94">
        <f t="shared" si="5"/>
        <v>1.5</v>
      </c>
      <c r="J17" s="94">
        <v>2</v>
      </c>
      <c r="K17" s="91">
        <f t="shared" si="6"/>
        <v>143.76</v>
      </c>
      <c r="L17" s="93">
        <f t="shared" si="7"/>
        <v>324.8</v>
      </c>
      <c r="M17" s="93">
        <f t="shared" si="8"/>
        <v>747</v>
      </c>
      <c r="N17" s="93">
        <f t="shared" si="9"/>
        <v>351.23</v>
      </c>
      <c r="O17" s="92">
        <f t="shared" si="10"/>
        <v>1566.79</v>
      </c>
      <c r="P17" s="91">
        <f t="shared" si="11"/>
        <v>342.17252873563262</v>
      </c>
      <c r="Q17" s="90">
        <f t="shared" si="12"/>
        <v>1908.9625287356325</v>
      </c>
      <c r="R17" s="144">
        <f t="shared" si="13"/>
        <v>954.48126436781627</v>
      </c>
      <c r="S17" s="88"/>
    </row>
    <row r="18" spans="1:19" s="83" customFormat="1" ht="11.25" x14ac:dyDescent="0.25">
      <c r="A18" s="102">
        <v>300</v>
      </c>
      <c r="B18" s="101">
        <v>40</v>
      </c>
      <c r="C18" s="100">
        <f t="shared" si="0"/>
        <v>34</v>
      </c>
      <c r="D18" s="99">
        <f t="shared" si="1"/>
        <v>4.25</v>
      </c>
      <c r="E18" s="98">
        <v>8</v>
      </c>
      <c r="F18" s="97">
        <f t="shared" si="2"/>
        <v>12.25</v>
      </c>
      <c r="G18" s="96">
        <f t="shared" si="3"/>
        <v>1.53125</v>
      </c>
      <c r="H18" s="145">
        <f t="shared" si="4"/>
        <v>2</v>
      </c>
      <c r="I18" s="94">
        <f t="shared" si="5"/>
        <v>1.5</v>
      </c>
      <c r="J18" s="94">
        <v>2</v>
      </c>
      <c r="K18" s="91">
        <f t="shared" si="6"/>
        <v>203.66</v>
      </c>
      <c r="L18" s="92">
        <f t="shared" si="7"/>
        <v>324.8</v>
      </c>
      <c r="M18" s="93">
        <f t="shared" si="8"/>
        <v>747</v>
      </c>
      <c r="N18" s="93">
        <f t="shared" si="9"/>
        <v>415.09</v>
      </c>
      <c r="O18" s="92">
        <f t="shared" si="10"/>
        <v>1690.55</v>
      </c>
      <c r="P18" s="91">
        <f t="shared" si="11"/>
        <v>369.20057471264414</v>
      </c>
      <c r="Q18" s="90">
        <f t="shared" si="12"/>
        <v>2059.7505747126443</v>
      </c>
      <c r="R18" s="144">
        <f t="shared" si="13"/>
        <v>1029.8752873563221</v>
      </c>
      <c r="S18" s="103"/>
    </row>
    <row r="19" spans="1:19" s="83" customFormat="1" ht="11.25" x14ac:dyDescent="0.25">
      <c r="A19" s="102">
        <v>400</v>
      </c>
      <c r="B19" s="101">
        <v>40</v>
      </c>
      <c r="C19" s="100">
        <f t="shared" si="0"/>
        <v>44</v>
      </c>
      <c r="D19" s="99">
        <f t="shared" si="1"/>
        <v>5.5</v>
      </c>
      <c r="E19" s="98">
        <v>8</v>
      </c>
      <c r="F19" s="97">
        <f t="shared" si="2"/>
        <v>13.5</v>
      </c>
      <c r="G19" s="96">
        <f t="shared" si="3"/>
        <v>1.6875</v>
      </c>
      <c r="H19" s="145">
        <f t="shared" si="4"/>
        <v>2</v>
      </c>
      <c r="I19" s="94">
        <f t="shared" si="5"/>
        <v>1.5</v>
      </c>
      <c r="J19" s="94">
        <v>2</v>
      </c>
      <c r="K19" s="91">
        <f t="shared" si="6"/>
        <v>263.56</v>
      </c>
      <c r="L19" s="92">
        <f t="shared" si="7"/>
        <v>324.8</v>
      </c>
      <c r="M19" s="93">
        <f t="shared" si="8"/>
        <v>747</v>
      </c>
      <c r="N19" s="93">
        <f t="shared" si="9"/>
        <v>447.02</v>
      </c>
      <c r="O19" s="92">
        <f t="shared" si="10"/>
        <v>1782.38</v>
      </c>
      <c r="P19" s="91">
        <f t="shared" si="11"/>
        <v>389.2554022988511</v>
      </c>
      <c r="Q19" s="90">
        <f t="shared" si="12"/>
        <v>2171.6354022988512</v>
      </c>
      <c r="R19" s="144">
        <f t="shared" si="13"/>
        <v>1085.8177011494256</v>
      </c>
      <c r="S19" s="88"/>
    </row>
    <row r="20" spans="1:19" s="83" customFormat="1" ht="11.25" x14ac:dyDescent="0.25">
      <c r="A20" s="102">
        <v>500</v>
      </c>
      <c r="B20" s="101">
        <v>40</v>
      </c>
      <c r="C20" s="100">
        <f t="shared" si="0"/>
        <v>54</v>
      </c>
      <c r="D20" s="99">
        <f t="shared" si="1"/>
        <v>6.75</v>
      </c>
      <c r="E20" s="98">
        <v>8</v>
      </c>
      <c r="F20" s="97">
        <f t="shared" si="2"/>
        <v>14.75</v>
      </c>
      <c r="G20" s="96">
        <f t="shared" si="3"/>
        <v>1.84375</v>
      </c>
      <c r="H20" s="145">
        <f t="shared" si="4"/>
        <v>2</v>
      </c>
      <c r="I20" s="94">
        <f t="shared" si="5"/>
        <v>1.5</v>
      </c>
      <c r="J20" s="94">
        <v>2</v>
      </c>
      <c r="K20" s="91">
        <f t="shared" si="6"/>
        <v>323.46000000000004</v>
      </c>
      <c r="L20" s="92">
        <f t="shared" si="7"/>
        <v>324.8</v>
      </c>
      <c r="M20" s="93">
        <f t="shared" si="8"/>
        <v>747</v>
      </c>
      <c r="N20" s="93">
        <f t="shared" si="9"/>
        <v>478.95</v>
      </c>
      <c r="O20" s="92">
        <f t="shared" si="10"/>
        <v>1874.21</v>
      </c>
      <c r="P20" s="91">
        <f t="shared" si="11"/>
        <v>409.31022988505799</v>
      </c>
      <c r="Q20" s="90">
        <f t="shared" si="12"/>
        <v>2283.5202298850581</v>
      </c>
      <c r="R20" s="144">
        <f t="shared" si="13"/>
        <v>1141.7601149425291</v>
      </c>
      <c r="S20" s="88"/>
    </row>
    <row r="21" spans="1:19" s="83" customFormat="1" ht="11.25" x14ac:dyDescent="0.25">
      <c r="A21" s="102">
        <v>600</v>
      </c>
      <c r="B21" s="101">
        <v>40</v>
      </c>
      <c r="C21" s="100">
        <f t="shared" si="0"/>
        <v>64</v>
      </c>
      <c r="D21" s="99">
        <f t="shared" si="1"/>
        <v>8</v>
      </c>
      <c r="E21" s="98">
        <v>8</v>
      </c>
      <c r="F21" s="97">
        <f t="shared" si="2"/>
        <v>16</v>
      </c>
      <c r="G21" s="96">
        <f t="shared" si="3"/>
        <v>2</v>
      </c>
      <c r="H21" s="145">
        <f t="shared" si="4"/>
        <v>2</v>
      </c>
      <c r="I21" s="94">
        <f t="shared" si="5"/>
        <v>1.5</v>
      </c>
      <c r="J21" s="94">
        <v>2</v>
      </c>
      <c r="K21" s="91">
        <f t="shared" si="6"/>
        <v>383.36</v>
      </c>
      <c r="L21" s="92">
        <f t="shared" si="7"/>
        <v>324.8</v>
      </c>
      <c r="M21" s="93">
        <f t="shared" si="8"/>
        <v>747</v>
      </c>
      <c r="N21" s="93">
        <f t="shared" si="9"/>
        <v>510.88</v>
      </c>
      <c r="O21" s="92">
        <f t="shared" si="10"/>
        <v>1966.04</v>
      </c>
      <c r="P21" s="91">
        <f t="shared" si="11"/>
        <v>429.36505747126495</v>
      </c>
      <c r="Q21" s="90">
        <f t="shared" si="12"/>
        <v>2395.4050574712651</v>
      </c>
      <c r="R21" s="144">
        <f t="shared" si="13"/>
        <v>1197.7025287356325</v>
      </c>
      <c r="S21" s="88"/>
    </row>
    <row r="22" spans="1:19" s="83" customFormat="1" ht="11.25" x14ac:dyDescent="0.25">
      <c r="A22" s="102">
        <v>700</v>
      </c>
      <c r="B22" s="101">
        <v>40</v>
      </c>
      <c r="C22" s="100">
        <f t="shared" si="0"/>
        <v>74</v>
      </c>
      <c r="D22" s="99">
        <f t="shared" si="1"/>
        <v>9.25</v>
      </c>
      <c r="E22" s="98">
        <v>8</v>
      </c>
      <c r="F22" s="97">
        <f t="shared" si="2"/>
        <v>17.25</v>
      </c>
      <c r="G22" s="96">
        <f t="shared" si="3"/>
        <v>2.15625</v>
      </c>
      <c r="H22" s="145">
        <f t="shared" si="4"/>
        <v>3</v>
      </c>
      <c r="I22" s="94">
        <f t="shared" si="5"/>
        <v>2.5</v>
      </c>
      <c r="J22" s="94">
        <v>2</v>
      </c>
      <c r="K22" s="91">
        <f t="shared" si="6"/>
        <v>443.26</v>
      </c>
      <c r="L22" s="92">
        <f t="shared" si="7"/>
        <v>487.20000000000005</v>
      </c>
      <c r="M22" s="93">
        <f t="shared" si="8"/>
        <v>1245</v>
      </c>
      <c r="N22" s="93">
        <f t="shared" si="9"/>
        <v>574.74</v>
      </c>
      <c r="O22" s="92">
        <f t="shared" si="10"/>
        <v>2750.2</v>
      </c>
      <c r="P22" s="91">
        <f t="shared" si="11"/>
        <v>600.61839080459845</v>
      </c>
      <c r="Q22" s="90">
        <f t="shared" si="12"/>
        <v>3350.8183908045985</v>
      </c>
      <c r="R22" s="144">
        <f t="shared" si="13"/>
        <v>1116.9394636015329</v>
      </c>
      <c r="S22" s="88"/>
    </row>
    <row r="23" spans="1:19" s="83" customFormat="1" ht="11.25" x14ac:dyDescent="0.25">
      <c r="A23" s="102">
        <v>800</v>
      </c>
      <c r="B23" s="101">
        <v>40</v>
      </c>
      <c r="C23" s="100">
        <f t="shared" si="0"/>
        <v>84</v>
      </c>
      <c r="D23" s="99">
        <f t="shared" si="1"/>
        <v>10.5</v>
      </c>
      <c r="E23" s="98">
        <v>8</v>
      </c>
      <c r="F23" s="97">
        <f t="shared" si="2"/>
        <v>18.5</v>
      </c>
      <c r="G23" s="96">
        <f t="shared" si="3"/>
        <v>2.3125</v>
      </c>
      <c r="H23" s="145">
        <f t="shared" si="4"/>
        <v>3</v>
      </c>
      <c r="I23" s="94">
        <f t="shared" si="5"/>
        <v>2.5</v>
      </c>
      <c r="J23" s="94">
        <v>2</v>
      </c>
      <c r="K23" s="91">
        <f t="shared" si="6"/>
        <v>503.16</v>
      </c>
      <c r="L23" s="92">
        <f t="shared" si="7"/>
        <v>487.20000000000005</v>
      </c>
      <c r="M23" s="93">
        <f t="shared" si="8"/>
        <v>1245</v>
      </c>
      <c r="N23" s="93">
        <f t="shared" si="9"/>
        <v>606.66999999999996</v>
      </c>
      <c r="O23" s="92">
        <f t="shared" si="10"/>
        <v>2842.03</v>
      </c>
      <c r="P23" s="91">
        <f t="shared" si="11"/>
        <v>620.67321839080546</v>
      </c>
      <c r="Q23" s="90">
        <f t="shared" si="12"/>
        <v>3462.7032183908059</v>
      </c>
      <c r="R23" s="144">
        <f t="shared" si="13"/>
        <v>1154.2344061302686</v>
      </c>
      <c r="S23" s="88"/>
    </row>
    <row r="24" spans="1:19" s="83" customFormat="1" ht="11.25" x14ac:dyDescent="0.25">
      <c r="A24" s="102">
        <v>900</v>
      </c>
      <c r="B24" s="101">
        <v>40</v>
      </c>
      <c r="C24" s="100">
        <f t="shared" si="0"/>
        <v>94</v>
      </c>
      <c r="D24" s="99">
        <f t="shared" si="1"/>
        <v>11.75</v>
      </c>
      <c r="E24" s="98">
        <v>8</v>
      </c>
      <c r="F24" s="97">
        <f t="shared" si="2"/>
        <v>19.75</v>
      </c>
      <c r="G24" s="96">
        <f t="shared" si="3"/>
        <v>2.46875</v>
      </c>
      <c r="H24" s="145">
        <f t="shared" si="4"/>
        <v>3</v>
      </c>
      <c r="I24" s="94">
        <f t="shared" si="5"/>
        <v>2.5</v>
      </c>
      <c r="J24" s="94">
        <v>2</v>
      </c>
      <c r="K24" s="91">
        <f t="shared" si="6"/>
        <v>563.06000000000006</v>
      </c>
      <c r="L24" s="92">
        <f t="shared" si="7"/>
        <v>487.20000000000005</v>
      </c>
      <c r="M24" s="93">
        <f t="shared" si="8"/>
        <v>1245</v>
      </c>
      <c r="N24" s="93">
        <f t="shared" si="9"/>
        <v>638.6</v>
      </c>
      <c r="O24" s="92">
        <f t="shared" si="10"/>
        <v>2933.86</v>
      </c>
      <c r="P24" s="91">
        <f t="shared" si="11"/>
        <v>640.72804597701236</v>
      </c>
      <c r="Q24" s="90">
        <f t="shared" si="12"/>
        <v>3574.5880459770124</v>
      </c>
      <c r="R24" s="144">
        <f t="shared" si="13"/>
        <v>1191.5293486590042</v>
      </c>
      <c r="S24" s="88"/>
    </row>
    <row r="25" spans="1:19" s="83" customFormat="1" ht="11.25" x14ac:dyDescent="0.25">
      <c r="A25" s="102">
        <v>1000</v>
      </c>
      <c r="B25" s="101">
        <v>40</v>
      </c>
      <c r="C25" s="100">
        <f t="shared" si="0"/>
        <v>104</v>
      </c>
      <c r="D25" s="99">
        <f t="shared" si="1"/>
        <v>13</v>
      </c>
      <c r="E25" s="98">
        <v>8</v>
      </c>
      <c r="F25" s="97">
        <f t="shared" si="2"/>
        <v>21</v>
      </c>
      <c r="G25" s="96">
        <f t="shared" si="3"/>
        <v>2.625</v>
      </c>
      <c r="H25" s="145">
        <f t="shared" si="4"/>
        <v>3</v>
      </c>
      <c r="I25" s="94">
        <f t="shared" si="5"/>
        <v>2.5</v>
      </c>
      <c r="J25" s="94">
        <v>2</v>
      </c>
      <c r="K25" s="91">
        <f t="shared" si="6"/>
        <v>622.96</v>
      </c>
      <c r="L25" s="92">
        <f t="shared" si="7"/>
        <v>487.20000000000005</v>
      </c>
      <c r="M25" s="93">
        <f t="shared" si="8"/>
        <v>1245</v>
      </c>
      <c r="N25" s="93">
        <f t="shared" si="9"/>
        <v>670.53</v>
      </c>
      <c r="O25" s="92">
        <f t="shared" si="10"/>
        <v>3025.6899999999996</v>
      </c>
      <c r="P25" s="91">
        <f t="shared" si="11"/>
        <v>660.78287356321914</v>
      </c>
      <c r="Q25" s="90">
        <f t="shared" si="12"/>
        <v>3686.4728735632189</v>
      </c>
      <c r="R25" s="144">
        <f t="shared" si="13"/>
        <v>1228.8242911877396</v>
      </c>
      <c r="S25" s="88"/>
    </row>
    <row r="26" spans="1:19" s="83" customFormat="1" ht="11.25" x14ac:dyDescent="0.25">
      <c r="A26" s="102">
        <v>1100</v>
      </c>
      <c r="B26" s="101">
        <v>40</v>
      </c>
      <c r="C26" s="100">
        <f t="shared" si="0"/>
        <v>114</v>
      </c>
      <c r="D26" s="99">
        <f t="shared" si="1"/>
        <v>14.25</v>
      </c>
      <c r="E26" s="98">
        <v>8</v>
      </c>
      <c r="F26" s="97">
        <f t="shared" si="2"/>
        <v>22.25</v>
      </c>
      <c r="G26" s="96">
        <f t="shared" si="3"/>
        <v>2.78125</v>
      </c>
      <c r="H26" s="145">
        <f t="shared" si="4"/>
        <v>3</v>
      </c>
      <c r="I26" s="94">
        <f t="shared" si="5"/>
        <v>2.5</v>
      </c>
      <c r="J26" s="94">
        <v>2</v>
      </c>
      <c r="K26" s="91">
        <f t="shared" si="6"/>
        <v>682.86</v>
      </c>
      <c r="L26" s="92">
        <f t="shared" si="7"/>
        <v>487.20000000000005</v>
      </c>
      <c r="M26" s="93">
        <f t="shared" si="8"/>
        <v>1245</v>
      </c>
      <c r="N26" s="93">
        <f t="shared" si="9"/>
        <v>734.39</v>
      </c>
      <c r="O26" s="92">
        <f t="shared" si="10"/>
        <v>3149.45</v>
      </c>
      <c r="P26" s="91">
        <f t="shared" si="11"/>
        <v>687.81091954023077</v>
      </c>
      <c r="Q26" s="90">
        <f t="shared" si="12"/>
        <v>3837.2609195402306</v>
      </c>
      <c r="R26" s="144">
        <f t="shared" si="13"/>
        <v>1279.0869731800769</v>
      </c>
      <c r="S26" s="88"/>
    </row>
    <row r="27" spans="1:19" s="83" customFormat="1" ht="11.25" x14ac:dyDescent="0.25">
      <c r="A27" s="102">
        <v>1200</v>
      </c>
      <c r="B27" s="101">
        <v>40</v>
      </c>
      <c r="C27" s="100">
        <f t="shared" si="0"/>
        <v>124</v>
      </c>
      <c r="D27" s="99">
        <f t="shared" si="1"/>
        <v>15.5</v>
      </c>
      <c r="E27" s="98">
        <v>8</v>
      </c>
      <c r="F27" s="97">
        <f t="shared" si="2"/>
        <v>23.5</v>
      </c>
      <c r="G27" s="96">
        <f t="shared" si="3"/>
        <v>2.9375</v>
      </c>
      <c r="H27" s="145">
        <f t="shared" si="4"/>
        <v>3</v>
      </c>
      <c r="I27" s="94">
        <f t="shared" si="5"/>
        <v>2.5</v>
      </c>
      <c r="J27" s="94">
        <v>2</v>
      </c>
      <c r="K27" s="91">
        <f t="shared" si="6"/>
        <v>742.76</v>
      </c>
      <c r="L27" s="92">
        <f t="shared" si="7"/>
        <v>487.20000000000005</v>
      </c>
      <c r="M27" s="93">
        <f t="shared" si="8"/>
        <v>1245</v>
      </c>
      <c r="N27" s="93">
        <f t="shared" si="9"/>
        <v>766.31999999999994</v>
      </c>
      <c r="O27" s="92">
        <f t="shared" si="10"/>
        <v>3241.2799999999997</v>
      </c>
      <c r="P27" s="91">
        <f t="shared" si="11"/>
        <v>707.86574712643767</v>
      </c>
      <c r="Q27" s="90">
        <f t="shared" si="12"/>
        <v>3949.1457471264375</v>
      </c>
      <c r="R27" s="144">
        <f t="shared" si="13"/>
        <v>1316.3819157088126</v>
      </c>
      <c r="S27" s="88"/>
    </row>
    <row r="28" spans="1:19" s="83" customFormat="1" ht="11.25" x14ac:dyDescent="0.25">
      <c r="A28" s="102">
        <v>1300</v>
      </c>
      <c r="B28" s="101">
        <v>40</v>
      </c>
      <c r="C28" s="100">
        <f t="shared" si="0"/>
        <v>134</v>
      </c>
      <c r="D28" s="99">
        <f t="shared" si="1"/>
        <v>16.75</v>
      </c>
      <c r="E28" s="98">
        <v>8</v>
      </c>
      <c r="F28" s="97">
        <f t="shared" si="2"/>
        <v>24.75</v>
      </c>
      <c r="G28" s="96">
        <f t="shared" si="3"/>
        <v>3.09375</v>
      </c>
      <c r="H28" s="145">
        <f t="shared" si="4"/>
        <v>4</v>
      </c>
      <c r="I28" s="94">
        <f t="shared" si="5"/>
        <v>3.5</v>
      </c>
      <c r="J28" s="94">
        <v>2</v>
      </c>
      <c r="K28" s="91">
        <f t="shared" si="6"/>
        <v>802.66000000000008</v>
      </c>
      <c r="L28" s="92">
        <f t="shared" si="7"/>
        <v>649.6</v>
      </c>
      <c r="M28" s="93">
        <f t="shared" si="8"/>
        <v>1743</v>
      </c>
      <c r="N28" s="93">
        <f t="shared" si="9"/>
        <v>798.25</v>
      </c>
      <c r="O28" s="92">
        <f t="shared" si="10"/>
        <v>3993.51</v>
      </c>
      <c r="P28" s="91">
        <f t="shared" si="11"/>
        <v>872.14586206896672</v>
      </c>
      <c r="Q28" s="90">
        <f t="shared" si="12"/>
        <v>4865.6558620689666</v>
      </c>
      <c r="R28" s="144">
        <f t="shared" si="13"/>
        <v>1216.4139655172416</v>
      </c>
      <c r="S28" s="88"/>
    </row>
    <row r="29" spans="1:19" s="83" customFormat="1" ht="11.25" x14ac:dyDescent="0.25">
      <c r="A29" s="102">
        <v>1400</v>
      </c>
      <c r="B29" s="101">
        <v>40</v>
      </c>
      <c r="C29" s="100">
        <f t="shared" si="0"/>
        <v>144</v>
      </c>
      <c r="D29" s="99">
        <f t="shared" si="1"/>
        <v>18</v>
      </c>
      <c r="E29" s="98">
        <v>8</v>
      </c>
      <c r="F29" s="97">
        <f t="shared" si="2"/>
        <v>26</v>
      </c>
      <c r="G29" s="96">
        <f t="shared" si="3"/>
        <v>3.25</v>
      </c>
      <c r="H29" s="145">
        <f t="shared" si="4"/>
        <v>4</v>
      </c>
      <c r="I29" s="94">
        <f t="shared" si="5"/>
        <v>3.5</v>
      </c>
      <c r="J29" s="94">
        <v>2</v>
      </c>
      <c r="K29" s="91">
        <f t="shared" si="6"/>
        <v>862.56000000000006</v>
      </c>
      <c r="L29" s="92">
        <f t="shared" si="7"/>
        <v>649.6</v>
      </c>
      <c r="M29" s="93">
        <f t="shared" si="8"/>
        <v>1743</v>
      </c>
      <c r="N29" s="93">
        <f t="shared" si="9"/>
        <v>830.18</v>
      </c>
      <c r="O29" s="92">
        <f t="shared" si="10"/>
        <v>4085.3399999999997</v>
      </c>
      <c r="P29" s="91">
        <f t="shared" si="11"/>
        <v>892.20068965517351</v>
      </c>
      <c r="Q29" s="90">
        <f t="shared" si="12"/>
        <v>4977.5406896551731</v>
      </c>
      <c r="R29" s="144">
        <f t="shared" si="13"/>
        <v>1244.3851724137933</v>
      </c>
      <c r="S29" s="88"/>
    </row>
    <row r="30" spans="1:19" s="83" customFormat="1" ht="11.25" x14ac:dyDescent="0.25">
      <c r="A30" s="102">
        <v>1500</v>
      </c>
      <c r="B30" s="101">
        <v>40</v>
      </c>
      <c r="C30" s="100">
        <f t="shared" si="0"/>
        <v>154</v>
      </c>
      <c r="D30" s="99">
        <f t="shared" si="1"/>
        <v>19.25</v>
      </c>
      <c r="E30" s="98">
        <v>8</v>
      </c>
      <c r="F30" s="97">
        <f t="shared" si="2"/>
        <v>27.25</v>
      </c>
      <c r="G30" s="96">
        <f t="shared" si="3"/>
        <v>3.40625</v>
      </c>
      <c r="H30" s="145">
        <f t="shared" si="4"/>
        <v>4</v>
      </c>
      <c r="I30" s="94">
        <f t="shared" si="5"/>
        <v>3.5</v>
      </c>
      <c r="J30" s="94">
        <v>2</v>
      </c>
      <c r="K30" s="91">
        <f t="shared" si="6"/>
        <v>922.46</v>
      </c>
      <c r="L30" s="92">
        <f t="shared" si="7"/>
        <v>649.6</v>
      </c>
      <c r="M30" s="93">
        <f t="shared" si="8"/>
        <v>1743</v>
      </c>
      <c r="N30" s="93">
        <f t="shared" si="9"/>
        <v>894.04</v>
      </c>
      <c r="O30" s="92">
        <f t="shared" si="10"/>
        <v>4209.1000000000004</v>
      </c>
      <c r="P30" s="91">
        <f t="shared" si="11"/>
        <v>919.22873563218525</v>
      </c>
      <c r="Q30" s="90">
        <f t="shared" si="12"/>
        <v>5128.3287356321853</v>
      </c>
      <c r="R30" s="144">
        <f t="shared" si="13"/>
        <v>1282.0821839080463</v>
      </c>
      <c r="S30" s="88"/>
    </row>
    <row r="31" spans="1:19" s="83" customFormat="1" ht="11.25" x14ac:dyDescent="0.25">
      <c r="A31" s="102">
        <v>1600</v>
      </c>
      <c r="B31" s="101">
        <v>40</v>
      </c>
      <c r="C31" s="100">
        <f t="shared" si="0"/>
        <v>164</v>
      </c>
      <c r="D31" s="99">
        <f t="shared" si="1"/>
        <v>20.5</v>
      </c>
      <c r="E31" s="98">
        <v>8</v>
      </c>
      <c r="F31" s="97">
        <f t="shared" si="2"/>
        <v>28.5</v>
      </c>
      <c r="G31" s="96">
        <f t="shared" si="3"/>
        <v>3.5625</v>
      </c>
      <c r="H31" s="145">
        <f t="shared" si="4"/>
        <v>4</v>
      </c>
      <c r="I31" s="94">
        <f t="shared" si="5"/>
        <v>3.5</v>
      </c>
      <c r="J31" s="94">
        <v>2</v>
      </c>
      <c r="K31" s="91">
        <f t="shared" si="6"/>
        <v>982.36</v>
      </c>
      <c r="L31" s="92">
        <f t="shared" si="7"/>
        <v>649.6</v>
      </c>
      <c r="M31" s="93">
        <f t="shared" si="8"/>
        <v>1743</v>
      </c>
      <c r="N31" s="93">
        <f t="shared" si="9"/>
        <v>925.97</v>
      </c>
      <c r="O31" s="92">
        <f t="shared" si="10"/>
        <v>4300.93</v>
      </c>
      <c r="P31" s="91">
        <f t="shared" si="11"/>
        <v>939.28356321839215</v>
      </c>
      <c r="Q31" s="90">
        <f t="shared" si="12"/>
        <v>5240.2135632183927</v>
      </c>
      <c r="R31" s="144">
        <f t="shared" si="13"/>
        <v>1310.0533908045982</v>
      </c>
      <c r="S31" s="88"/>
    </row>
    <row r="32" spans="1:19" s="83" customFormat="1" ht="11.25" x14ac:dyDescent="0.25">
      <c r="A32" s="102">
        <v>1700</v>
      </c>
      <c r="B32" s="101">
        <v>40</v>
      </c>
      <c r="C32" s="100">
        <f t="shared" si="0"/>
        <v>174</v>
      </c>
      <c r="D32" s="99">
        <f t="shared" si="1"/>
        <v>21.75</v>
      </c>
      <c r="E32" s="98">
        <v>8</v>
      </c>
      <c r="F32" s="97">
        <f t="shared" si="2"/>
        <v>29.75</v>
      </c>
      <c r="G32" s="96">
        <f t="shared" si="3"/>
        <v>3.71875</v>
      </c>
      <c r="H32" s="145">
        <f t="shared" si="4"/>
        <v>4</v>
      </c>
      <c r="I32" s="94">
        <f t="shared" si="5"/>
        <v>3.5</v>
      </c>
      <c r="J32" s="94">
        <v>2</v>
      </c>
      <c r="K32" s="91">
        <f t="shared" si="6"/>
        <v>1042.26</v>
      </c>
      <c r="L32" s="92">
        <f t="shared" si="7"/>
        <v>649.6</v>
      </c>
      <c r="M32" s="93">
        <f t="shared" si="8"/>
        <v>1743</v>
      </c>
      <c r="N32" s="93">
        <f t="shared" si="9"/>
        <v>957.9</v>
      </c>
      <c r="O32" s="92">
        <f t="shared" si="10"/>
        <v>4392.76</v>
      </c>
      <c r="P32" s="91">
        <f t="shared" si="11"/>
        <v>959.33839080459904</v>
      </c>
      <c r="Q32" s="90">
        <f t="shared" si="12"/>
        <v>5352.0983908045991</v>
      </c>
      <c r="R32" s="144">
        <f t="shared" si="13"/>
        <v>1338.0245977011498</v>
      </c>
      <c r="S32" s="88"/>
    </row>
    <row r="33" spans="1:19" s="83" customFormat="1" ht="11.25" x14ac:dyDescent="0.25">
      <c r="A33" s="102">
        <v>1800</v>
      </c>
      <c r="B33" s="101">
        <v>40</v>
      </c>
      <c r="C33" s="100">
        <f t="shared" si="0"/>
        <v>184</v>
      </c>
      <c r="D33" s="99">
        <f t="shared" si="1"/>
        <v>23</v>
      </c>
      <c r="E33" s="98">
        <v>8</v>
      </c>
      <c r="F33" s="97">
        <f t="shared" si="2"/>
        <v>31</v>
      </c>
      <c r="G33" s="96">
        <f t="shared" si="3"/>
        <v>3.875</v>
      </c>
      <c r="H33" s="145">
        <f t="shared" si="4"/>
        <v>4</v>
      </c>
      <c r="I33" s="94">
        <f t="shared" si="5"/>
        <v>3.5</v>
      </c>
      <c r="J33" s="94">
        <v>2</v>
      </c>
      <c r="K33" s="91">
        <f t="shared" si="6"/>
        <v>1102.1600000000001</v>
      </c>
      <c r="L33" s="92">
        <f t="shared" si="7"/>
        <v>649.6</v>
      </c>
      <c r="M33" s="93">
        <f t="shared" si="8"/>
        <v>1743</v>
      </c>
      <c r="N33" s="93">
        <f t="shared" si="9"/>
        <v>989.83</v>
      </c>
      <c r="O33" s="92">
        <f t="shared" si="10"/>
        <v>4484.59</v>
      </c>
      <c r="P33" s="91">
        <f t="shared" si="11"/>
        <v>979.39321839080594</v>
      </c>
      <c r="Q33" s="90">
        <f t="shared" si="12"/>
        <v>5463.9832183908056</v>
      </c>
      <c r="R33" s="144">
        <f t="shared" si="13"/>
        <v>1365.9958045977014</v>
      </c>
      <c r="S33" s="88"/>
    </row>
    <row r="34" spans="1:19" s="83" customFormat="1" ht="11.25" x14ac:dyDescent="0.25">
      <c r="A34" s="102">
        <v>1900</v>
      </c>
      <c r="B34" s="101">
        <v>40</v>
      </c>
      <c r="C34" s="100">
        <f t="shared" si="0"/>
        <v>194</v>
      </c>
      <c r="D34" s="99">
        <f t="shared" si="1"/>
        <v>24.25</v>
      </c>
      <c r="E34" s="98">
        <v>8</v>
      </c>
      <c r="F34" s="97">
        <f t="shared" si="2"/>
        <v>32.25</v>
      </c>
      <c r="G34" s="96">
        <f t="shared" si="3"/>
        <v>4.03125</v>
      </c>
      <c r="H34" s="145">
        <f t="shared" si="4"/>
        <v>5</v>
      </c>
      <c r="I34" s="94">
        <f t="shared" si="5"/>
        <v>4.5</v>
      </c>
      <c r="J34" s="94">
        <v>2</v>
      </c>
      <c r="K34" s="91">
        <f t="shared" si="6"/>
        <v>1162.06</v>
      </c>
      <c r="L34" s="92">
        <f t="shared" si="7"/>
        <v>812</v>
      </c>
      <c r="M34" s="93">
        <f t="shared" si="8"/>
        <v>2241</v>
      </c>
      <c r="N34" s="93">
        <f t="shared" si="9"/>
        <v>1053.69</v>
      </c>
      <c r="O34" s="92">
        <f t="shared" si="10"/>
        <v>5268.75</v>
      </c>
      <c r="P34" s="91">
        <f t="shared" si="11"/>
        <v>1150.6465517241395</v>
      </c>
      <c r="Q34" s="90">
        <f t="shared" si="12"/>
        <v>6419.3965517241395</v>
      </c>
      <c r="R34" s="144">
        <f t="shared" si="13"/>
        <v>1283.8793103448279</v>
      </c>
      <c r="S34" s="88"/>
    </row>
    <row r="35" spans="1:19" s="83" customFormat="1" ht="11.25" x14ac:dyDescent="0.25">
      <c r="A35" s="102">
        <v>2000</v>
      </c>
      <c r="B35" s="101">
        <v>40</v>
      </c>
      <c r="C35" s="100">
        <f t="shared" si="0"/>
        <v>204</v>
      </c>
      <c r="D35" s="99">
        <f t="shared" si="1"/>
        <v>25.5</v>
      </c>
      <c r="E35" s="98">
        <v>8</v>
      </c>
      <c r="F35" s="97">
        <f t="shared" si="2"/>
        <v>33.5</v>
      </c>
      <c r="G35" s="96">
        <f t="shared" si="3"/>
        <v>4.1875</v>
      </c>
      <c r="H35" s="145">
        <f t="shared" si="4"/>
        <v>5</v>
      </c>
      <c r="I35" s="94">
        <f t="shared" si="5"/>
        <v>4.5</v>
      </c>
      <c r="J35" s="94">
        <v>2</v>
      </c>
      <c r="K35" s="91">
        <f t="shared" si="6"/>
        <v>1221.96</v>
      </c>
      <c r="L35" s="92">
        <f t="shared" si="7"/>
        <v>812</v>
      </c>
      <c r="M35" s="93">
        <f t="shared" si="8"/>
        <v>2241</v>
      </c>
      <c r="N35" s="93">
        <f t="shared" si="9"/>
        <v>1085.6199999999999</v>
      </c>
      <c r="O35" s="92">
        <f t="shared" si="10"/>
        <v>5360.58</v>
      </c>
      <c r="P35" s="91">
        <f t="shared" si="11"/>
        <v>1170.7013793103463</v>
      </c>
      <c r="Q35" s="90">
        <f t="shared" si="12"/>
        <v>6531.281379310346</v>
      </c>
      <c r="R35" s="144">
        <f t="shared" si="13"/>
        <v>1306.2562758620693</v>
      </c>
      <c r="S35" s="88"/>
    </row>
    <row r="36" spans="1:19" s="83" customFormat="1" ht="11.25" x14ac:dyDescent="0.25">
      <c r="A36" s="102">
        <v>2100</v>
      </c>
      <c r="B36" s="101">
        <v>40</v>
      </c>
      <c r="C36" s="100">
        <f t="shared" si="0"/>
        <v>214</v>
      </c>
      <c r="D36" s="99">
        <f t="shared" si="1"/>
        <v>26.75</v>
      </c>
      <c r="E36" s="98">
        <v>8</v>
      </c>
      <c r="F36" s="97">
        <f t="shared" si="2"/>
        <v>34.75</v>
      </c>
      <c r="G36" s="96">
        <f t="shared" si="3"/>
        <v>4.34375</v>
      </c>
      <c r="H36" s="145">
        <f t="shared" si="4"/>
        <v>5</v>
      </c>
      <c r="I36" s="94">
        <f t="shared" si="5"/>
        <v>4.5</v>
      </c>
      <c r="J36" s="94">
        <v>2</v>
      </c>
      <c r="K36" s="91">
        <f t="shared" si="6"/>
        <v>1281.8600000000001</v>
      </c>
      <c r="L36" s="92">
        <f t="shared" si="7"/>
        <v>812</v>
      </c>
      <c r="M36" s="93">
        <f t="shared" si="8"/>
        <v>2241</v>
      </c>
      <c r="N36" s="93">
        <f t="shared" si="9"/>
        <v>1117.55</v>
      </c>
      <c r="O36" s="92">
        <f t="shared" si="10"/>
        <v>5452.4100000000008</v>
      </c>
      <c r="P36" s="91">
        <f t="shared" si="11"/>
        <v>1190.7562068965535</v>
      </c>
      <c r="Q36" s="90">
        <f t="shared" si="12"/>
        <v>6643.1662068965543</v>
      </c>
      <c r="R36" s="144">
        <f t="shared" si="13"/>
        <v>1328.6332413793109</v>
      </c>
      <c r="S36" s="88"/>
    </row>
    <row r="37" spans="1:19" s="83" customFormat="1" ht="11.25" x14ac:dyDescent="0.25">
      <c r="A37" s="102">
        <v>2200</v>
      </c>
      <c r="B37" s="101">
        <v>40</v>
      </c>
      <c r="C37" s="100">
        <f t="shared" si="0"/>
        <v>224</v>
      </c>
      <c r="D37" s="99">
        <f t="shared" si="1"/>
        <v>28</v>
      </c>
      <c r="E37" s="98">
        <v>8</v>
      </c>
      <c r="F37" s="97">
        <f t="shared" si="2"/>
        <v>36</v>
      </c>
      <c r="G37" s="96">
        <f t="shared" si="3"/>
        <v>4.5</v>
      </c>
      <c r="H37" s="145">
        <f t="shared" si="4"/>
        <v>5</v>
      </c>
      <c r="I37" s="94">
        <f t="shared" si="5"/>
        <v>4.5</v>
      </c>
      <c r="J37" s="94">
        <v>2</v>
      </c>
      <c r="K37" s="91">
        <f t="shared" si="6"/>
        <v>1341.76</v>
      </c>
      <c r="L37" s="92">
        <f t="shared" si="7"/>
        <v>812</v>
      </c>
      <c r="M37" s="93">
        <f t="shared" si="8"/>
        <v>2241</v>
      </c>
      <c r="N37" s="93">
        <f t="shared" si="9"/>
        <v>1149.48</v>
      </c>
      <c r="O37" s="92">
        <f t="shared" si="10"/>
        <v>5544.24</v>
      </c>
      <c r="P37" s="91">
        <f t="shared" si="11"/>
        <v>1210.8110344827601</v>
      </c>
      <c r="Q37" s="90">
        <f t="shared" si="12"/>
        <v>6755.0510344827599</v>
      </c>
      <c r="R37" s="144">
        <f t="shared" si="13"/>
        <v>1351.0102068965521</v>
      </c>
      <c r="S37" s="88"/>
    </row>
    <row r="38" spans="1:19" s="83" customFormat="1" ht="11.25" x14ac:dyDescent="0.25">
      <c r="A38" s="102">
        <v>2300</v>
      </c>
      <c r="B38" s="101">
        <v>40</v>
      </c>
      <c r="C38" s="100">
        <f t="shared" si="0"/>
        <v>234</v>
      </c>
      <c r="D38" s="99">
        <f t="shared" si="1"/>
        <v>29.25</v>
      </c>
      <c r="E38" s="98">
        <v>8</v>
      </c>
      <c r="F38" s="97">
        <f t="shared" si="2"/>
        <v>37.25</v>
      </c>
      <c r="G38" s="96">
        <f t="shared" si="3"/>
        <v>4.65625</v>
      </c>
      <c r="H38" s="145">
        <f t="shared" si="4"/>
        <v>5</v>
      </c>
      <c r="I38" s="94">
        <f t="shared" si="5"/>
        <v>4.5</v>
      </c>
      <c r="J38" s="94">
        <v>2</v>
      </c>
      <c r="K38" s="91">
        <f t="shared" si="6"/>
        <v>1401.66</v>
      </c>
      <c r="L38" s="92">
        <f t="shared" si="7"/>
        <v>812</v>
      </c>
      <c r="M38" s="93">
        <f t="shared" si="8"/>
        <v>2241</v>
      </c>
      <c r="N38" s="93">
        <f t="shared" si="9"/>
        <v>1213.3399999999999</v>
      </c>
      <c r="O38" s="92">
        <f t="shared" si="10"/>
        <v>5668</v>
      </c>
      <c r="P38" s="91">
        <f t="shared" si="11"/>
        <v>1237.8390804597718</v>
      </c>
      <c r="Q38" s="90">
        <f t="shared" si="12"/>
        <v>6905.839080459772</v>
      </c>
      <c r="R38" s="144">
        <f t="shared" si="13"/>
        <v>1381.1678160919544</v>
      </c>
      <c r="S38" s="88"/>
    </row>
    <row r="39" spans="1:19" s="83" customFormat="1" ht="11.25" x14ac:dyDescent="0.25">
      <c r="A39" s="102">
        <v>2400</v>
      </c>
      <c r="B39" s="101">
        <v>40</v>
      </c>
      <c r="C39" s="100">
        <f t="shared" si="0"/>
        <v>244</v>
      </c>
      <c r="D39" s="99">
        <f t="shared" si="1"/>
        <v>30.5</v>
      </c>
      <c r="E39" s="98">
        <v>8</v>
      </c>
      <c r="F39" s="97">
        <f t="shared" si="2"/>
        <v>38.5</v>
      </c>
      <c r="G39" s="96">
        <f t="shared" si="3"/>
        <v>4.8125</v>
      </c>
      <c r="H39" s="145">
        <f t="shared" si="4"/>
        <v>5</v>
      </c>
      <c r="I39" s="94">
        <f t="shared" si="5"/>
        <v>4.5</v>
      </c>
      <c r="J39" s="94">
        <v>2</v>
      </c>
      <c r="K39" s="91">
        <f t="shared" si="6"/>
        <v>1461.56</v>
      </c>
      <c r="L39" s="92">
        <f t="shared" si="7"/>
        <v>812</v>
      </c>
      <c r="M39" s="93">
        <f t="shared" si="8"/>
        <v>2241</v>
      </c>
      <c r="N39" s="93">
        <f t="shared" si="9"/>
        <v>1245.27</v>
      </c>
      <c r="O39" s="92">
        <f t="shared" si="10"/>
        <v>5759.83</v>
      </c>
      <c r="P39" s="91">
        <f t="shared" si="11"/>
        <v>1257.8939080459786</v>
      </c>
      <c r="Q39" s="90">
        <f t="shared" si="12"/>
        <v>7017.7239080459785</v>
      </c>
      <c r="R39" s="144">
        <f t="shared" si="13"/>
        <v>1403.5447816091958</v>
      </c>
      <c r="S39" s="88"/>
    </row>
    <row r="40" spans="1:19" s="83" customFormat="1" ht="11.25" x14ac:dyDescent="0.25">
      <c r="A40" s="102">
        <v>2500</v>
      </c>
      <c r="B40" s="101">
        <v>40</v>
      </c>
      <c r="C40" s="100">
        <f t="shared" si="0"/>
        <v>254</v>
      </c>
      <c r="D40" s="99">
        <f t="shared" si="1"/>
        <v>31.75</v>
      </c>
      <c r="E40" s="98">
        <v>8</v>
      </c>
      <c r="F40" s="97">
        <f t="shared" si="2"/>
        <v>39.75</v>
      </c>
      <c r="G40" s="96">
        <f t="shared" si="3"/>
        <v>4.96875</v>
      </c>
      <c r="H40" s="145">
        <f t="shared" si="4"/>
        <v>5</v>
      </c>
      <c r="I40" s="94">
        <f t="shared" si="5"/>
        <v>4.5</v>
      </c>
      <c r="J40" s="94">
        <v>2</v>
      </c>
      <c r="K40" s="91">
        <f t="shared" si="6"/>
        <v>1521.46</v>
      </c>
      <c r="L40" s="92">
        <f t="shared" si="7"/>
        <v>812</v>
      </c>
      <c r="M40" s="93">
        <f t="shared" si="8"/>
        <v>2241</v>
      </c>
      <c r="N40" s="93">
        <f t="shared" si="9"/>
        <v>1277.2</v>
      </c>
      <c r="O40" s="92">
        <f t="shared" si="10"/>
        <v>5851.66</v>
      </c>
      <c r="P40" s="91">
        <f t="shared" si="11"/>
        <v>1277.9487356321856</v>
      </c>
      <c r="Q40" s="90">
        <f t="shared" si="12"/>
        <v>7129.6087356321859</v>
      </c>
      <c r="R40" s="144">
        <f t="shared" si="13"/>
        <v>1425.9217471264371</v>
      </c>
      <c r="S40" s="88"/>
    </row>
    <row r="41" spans="1:19" s="83" customFormat="1" ht="11.25" x14ac:dyDescent="0.25">
      <c r="A41" s="102">
        <v>2600</v>
      </c>
      <c r="B41" s="101">
        <v>40</v>
      </c>
      <c r="C41" s="100">
        <f t="shared" si="0"/>
        <v>264</v>
      </c>
      <c r="D41" s="99">
        <f t="shared" si="1"/>
        <v>33</v>
      </c>
      <c r="E41" s="98">
        <v>8</v>
      </c>
      <c r="F41" s="97">
        <f t="shared" si="2"/>
        <v>41</v>
      </c>
      <c r="G41" s="96">
        <f t="shared" si="3"/>
        <v>5.125</v>
      </c>
      <c r="H41" s="145">
        <f t="shared" si="4"/>
        <v>6</v>
      </c>
      <c r="I41" s="94">
        <f t="shared" si="5"/>
        <v>5.5</v>
      </c>
      <c r="J41" s="94">
        <v>2</v>
      </c>
      <c r="K41" s="91">
        <f t="shared" si="6"/>
        <v>1581.3600000000001</v>
      </c>
      <c r="L41" s="92">
        <f t="shared" si="7"/>
        <v>974.40000000000009</v>
      </c>
      <c r="M41" s="93">
        <f t="shared" si="8"/>
        <v>2739</v>
      </c>
      <c r="N41" s="93">
        <f t="shared" si="9"/>
        <v>1309.1299999999999</v>
      </c>
      <c r="O41" s="92">
        <f t="shared" si="10"/>
        <v>6603.89</v>
      </c>
      <c r="P41" s="91">
        <f t="shared" si="11"/>
        <v>1442.2288505747147</v>
      </c>
      <c r="Q41" s="90">
        <f t="shared" si="12"/>
        <v>8046.118850574715</v>
      </c>
      <c r="R41" s="144">
        <f t="shared" si="13"/>
        <v>1341.0198084291192</v>
      </c>
      <c r="S41" s="88"/>
    </row>
    <row r="42" spans="1:19" s="83" customFormat="1" ht="11.25" x14ac:dyDescent="0.25">
      <c r="A42" s="102">
        <v>2700</v>
      </c>
      <c r="B42" s="101">
        <v>40</v>
      </c>
      <c r="C42" s="100">
        <f t="shared" si="0"/>
        <v>274</v>
      </c>
      <c r="D42" s="99">
        <f t="shared" si="1"/>
        <v>34.25</v>
      </c>
      <c r="E42" s="98">
        <v>8</v>
      </c>
      <c r="F42" s="97">
        <f t="shared" si="2"/>
        <v>42.25</v>
      </c>
      <c r="G42" s="96">
        <f t="shared" si="3"/>
        <v>5.28125</v>
      </c>
      <c r="H42" s="145">
        <f t="shared" si="4"/>
        <v>6</v>
      </c>
      <c r="I42" s="94">
        <f t="shared" si="5"/>
        <v>5.5</v>
      </c>
      <c r="J42" s="94">
        <v>2</v>
      </c>
      <c r="K42" s="91">
        <f t="shared" si="6"/>
        <v>1641.26</v>
      </c>
      <c r="L42" s="92">
        <f t="shared" si="7"/>
        <v>974.40000000000009</v>
      </c>
      <c r="M42" s="93">
        <f t="shared" si="8"/>
        <v>2739</v>
      </c>
      <c r="N42" s="93">
        <f t="shared" si="9"/>
        <v>1372.99</v>
      </c>
      <c r="O42" s="92">
        <f t="shared" si="10"/>
        <v>6727.65</v>
      </c>
      <c r="P42" s="91">
        <f t="shared" si="11"/>
        <v>1469.256896551726</v>
      </c>
      <c r="Q42" s="90">
        <f t="shared" si="12"/>
        <v>8196.9068965517254</v>
      </c>
      <c r="R42" s="144">
        <f t="shared" si="13"/>
        <v>1366.1511494252875</v>
      </c>
      <c r="S42" s="88"/>
    </row>
    <row r="43" spans="1:19" s="83" customFormat="1" ht="11.25" x14ac:dyDescent="0.25">
      <c r="A43" s="102">
        <v>2800</v>
      </c>
      <c r="B43" s="101">
        <v>40</v>
      </c>
      <c r="C43" s="100">
        <f t="shared" si="0"/>
        <v>284</v>
      </c>
      <c r="D43" s="99">
        <f t="shared" si="1"/>
        <v>35.5</v>
      </c>
      <c r="E43" s="98">
        <v>8</v>
      </c>
      <c r="F43" s="97">
        <f t="shared" si="2"/>
        <v>43.5</v>
      </c>
      <c r="G43" s="96">
        <f t="shared" si="3"/>
        <v>5.4375</v>
      </c>
      <c r="H43" s="145">
        <f t="shared" si="4"/>
        <v>6</v>
      </c>
      <c r="I43" s="94">
        <f t="shared" si="5"/>
        <v>5.5</v>
      </c>
      <c r="J43" s="94">
        <v>2</v>
      </c>
      <c r="K43" s="91">
        <f t="shared" si="6"/>
        <v>1701.16</v>
      </c>
      <c r="L43" s="92">
        <f t="shared" si="7"/>
        <v>974.40000000000009</v>
      </c>
      <c r="M43" s="93">
        <f t="shared" si="8"/>
        <v>2739</v>
      </c>
      <c r="N43" s="93">
        <f t="shared" si="9"/>
        <v>1404.92</v>
      </c>
      <c r="O43" s="92">
        <f t="shared" si="10"/>
        <v>6819.4800000000005</v>
      </c>
      <c r="P43" s="91">
        <f t="shared" si="11"/>
        <v>1489.3117241379332</v>
      </c>
      <c r="Q43" s="90">
        <f t="shared" si="12"/>
        <v>8308.7917241379328</v>
      </c>
      <c r="R43" s="144">
        <f t="shared" si="13"/>
        <v>1384.7986206896555</v>
      </c>
      <c r="S43" s="88"/>
    </row>
    <row r="44" spans="1:19" s="83" customFormat="1" ht="11.25" x14ac:dyDescent="0.25">
      <c r="A44" s="102">
        <v>2900</v>
      </c>
      <c r="B44" s="101">
        <v>40</v>
      </c>
      <c r="C44" s="100">
        <f t="shared" si="0"/>
        <v>294</v>
      </c>
      <c r="D44" s="99">
        <f t="shared" si="1"/>
        <v>36.75</v>
      </c>
      <c r="E44" s="98">
        <v>8</v>
      </c>
      <c r="F44" s="97">
        <f t="shared" si="2"/>
        <v>44.75</v>
      </c>
      <c r="G44" s="96">
        <f t="shared" si="3"/>
        <v>5.59375</v>
      </c>
      <c r="H44" s="145">
        <f t="shared" si="4"/>
        <v>6</v>
      </c>
      <c r="I44" s="94">
        <f t="shared" si="5"/>
        <v>5.5</v>
      </c>
      <c r="J44" s="94">
        <v>2</v>
      </c>
      <c r="K44" s="91">
        <f t="shared" si="6"/>
        <v>1761.0600000000002</v>
      </c>
      <c r="L44" s="92">
        <f t="shared" si="7"/>
        <v>974.40000000000009</v>
      </c>
      <c r="M44" s="93">
        <f t="shared" si="8"/>
        <v>2739</v>
      </c>
      <c r="N44" s="93">
        <f t="shared" si="9"/>
        <v>1436.85</v>
      </c>
      <c r="O44" s="92">
        <f t="shared" si="10"/>
        <v>6911.3099999999995</v>
      </c>
      <c r="P44" s="91">
        <f t="shared" si="11"/>
        <v>1509.3665517241398</v>
      </c>
      <c r="Q44" s="90">
        <f t="shared" si="12"/>
        <v>8420.6765517241402</v>
      </c>
      <c r="R44" s="144">
        <f t="shared" si="13"/>
        <v>1403.4460919540234</v>
      </c>
      <c r="S44" s="88"/>
    </row>
    <row r="45" spans="1:19" s="83" customFormat="1" ht="11.25" x14ac:dyDescent="0.25">
      <c r="A45" s="102">
        <v>3000</v>
      </c>
      <c r="B45" s="101">
        <v>40</v>
      </c>
      <c r="C45" s="100">
        <f t="shared" si="0"/>
        <v>304</v>
      </c>
      <c r="D45" s="99">
        <f t="shared" si="1"/>
        <v>38</v>
      </c>
      <c r="E45" s="98">
        <v>8</v>
      </c>
      <c r="F45" s="97">
        <f t="shared" si="2"/>
        <v>46</v>
      </c>
      <c r="G45" s="96">
        <f t="shared" si="3"/>
        <v>5.75</v>
      </c>
      <c r="H45" s="145">
        <f t="shared" si="4"/>
        <v>6</v>
      </c>
      <c r="I45" s="94">
        <f t="shared" si="5"/>
        <v>5.5</v>
      </c>
      <c r="J45" s="94">
        <v>2</v>
      </c>
      <c r="K45" s="91">
        <f t="shared" si="6"/>
        <v>1820.96</v>
      </c>
      <c r="L45" s="92">
        <f t="shared" si="7"/>
        <v>974.40000000000009</v>
      </c>
      <c r="M45" s="93">
        <f t="shared" si="8"/>
        <v>2739</v>
      </c>
      <c r="N45" s="93">
        <f t="shared" si="9"/>
        <v>1468.78</v>
      </c>
      <c r="O45" s="92">
        <f t="shared" si="10"/>
        <v>7003.14</v>
      </c>
      <c r="P45" s="91">
        <f t="shared" si="11"/>
        <v>1529.421379310347</v>
      </c>
      <c r="Q45" s="90">
        <f t="shared" si="12"/>
        <v>8532.5613793103475</v>
      </c>
      <c r="R45" s="144">
        <f t="shared" si="13"/>
        <v>1422.0935632183912</v>
      </c>
      <c r="S45" s="88"/>
    </row>
    <row r="46" spans="1:19" s="80" customFormat="1" ht="11.25" x14ac:dyDescent="0.2">
      <c r="D46" s="87"/>
      <c r="E46" s="86"/>
      <c r="F46" s="85"/>
      <c r="G46" s="84"/>
      <c r="H46" s="84"/>
      <c r="I46" s="84"/>
      <c r="J46" s="84"/>
      <c r="K46" s="84"/>
      <c r="P46" s="83"/>
      <c r="Q46" s="82"/>
      <c r="R46" s="143"/>
    </row>
    <row r="47" spans="1:19" x14ac:dyDescent="0.2">
      <c r="Q47" s="79" t="s">
        <v>168</v>
      </c>
      <c r="R47" s="78">
        <f>AVERAGE(R16:R45)</f>
        <v>1258.3349957854407</v>
      </c>
    </row>
    <row r="52" spans="18:18" s="76" customFormat="1" ht="11.25" x14ac:dyDescent="0.2">
      <c r="R52" s="142"/>
    </row>
    <row r="53" spans="18:18" s="76" customFormat="1" ht="11.25" x14ac:dyDescent="0.2">
      <c r="R53" s="142"/>
    </row>
    <row r="54" spans="18:18" s="76" customFormat="1" ht="11.25" x14ac:dyDescent="0.2">
      <c r="R54" s="142"/>
    </row>
    <row r="55" spans="18:18" s="76" customFormat="1" ht="11.25" x14ac:dyDescent="0.2">
      <c r="R55" s="142"/>
    </row>
    <row r="56" spans="18:18" s="76" customFormat="1" ht="11.25" x14ac:dyDescent="0.2">
      <c r="R56" s="142"/>
    </row>
    <row r="57" spans="18:18" s="76" customFormat="1" ht="11.25" x14ac:dyDescent="0.2">
      <c r="R57" s="142"/>
    </row>
    <row r="59" spans="18:18" s="76" customFormat="1" ht="11.25" x14ac:dyDescent="0.2">
      <c r="R59" s="142"/>
    </row>
  </sheetData>
  <mergeCells count="1">
    <mergeCell ref="A12:E12"/>
  </mergeCells>
  <pageMargins left="0.78740157480314965" right="0.78740157480314965" top="0.98425196850393704" bottom="0.98425196850393704" header="0.51181102362204722" footer="0.51181102362204722"/>
  <pageSetup paperSize="9" scale="52" firstPageNumber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6"/>
  <sheetViews>
    <sheetView zoomScaleNormal="100" workbookViewId="0">
      <selection activeCell="F11" sqref="F11"/>
    </sheetView>
  </sheetViews>
  <sheetFormatPr defaultColWidth="6.85546875" defaultRowHeight="12.75" x14ac:dyDescent="0.2"/>
  <cols>
    <col min="1" max="3" width="13.5703125" style="76" customWidth="1"/>
    <col min="4" max="4" width="13.5703125" style="141" customWidth="1"/>
    <col min="5" max="5" width="13.5703125" style="140" customWidth="1"/>
    <col min="6" max="6" width="13.5703125" style="139" customWidth="1"/>
    <col min="7" max="11" width="13.5703125" style="138" customWidth="1"/>
    <col min="12" max="15" width="13.5703125" style="76" customWidth="1"/>
    <col min="16" max="16" width="13.5703125" style="130" customWidth="1"/>
    <col min="17" max="17" width="13.5703125" style="134" customWidth="1"/>
    <col min="18" max="18" width="13.5703125" style="137" customWidth="1"/>
    <col min="19" max="1025" width="6.85546875" style="76"/>
    <col min="1026" max="16384" width="6.85546875" style="75"/>
  </cols>
  <sheetData>
    <row r="1" spans="1:19" x14ac:dyDescent="0.2">
      <c r="A1" s="136" t="s">
        <v>203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50"/>
    </row>
    <row r="2" spans="1:19" x14ac:dyDescent="0.2">
      <c r="A2" s="135" t="s">
        <v>210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50"/>
    </row>
    <row r="3" spans="1:19" s="128" customFormat="1" ht="11.25" x14ac:dyDescent="0.25">
      <c r="A3" s="195"/>
      <c r="B3" s="195"/>
      <c r="C3" s="195"/>
      <c r="D3" s="195"/>
      <c r="E3" s="195"/>
      <c r="F3" s="195"/>
      <c r="G3" s="131"/>
      <c r="H3" s="131"/>
      <c r="I3" s="131"/>
      <c r="J3" s="131"/>
      <c r="K3" s="131"/>
      <c r="P3" s="130"/>
      <c r="Q3" s="130"/>
      <c r="R3" s="149"/>
    </row>
    <row r="4" spans="1:19" x14ac:dyDescent="0.2">
      <c r="A4" s="133" t="s">
        <v>201</v>
      </c>
      <c r="B4" s="132"/>
      <c r="C4" s="132"/>
      <c r="D4" s="132"/>
      <c r="E4" s="132"/>
      <c r="F4" s="132"/>
    </row>
    <row r="5" spans="1:19" x14ac:dyDescent="0.2">
      <c r="A5" s="125" t="s">
        <v>200</v>
      </c>
      <c r="B5" s="124"/>
      <c r="C5" s="124"/>
      <c r="D5" s="124"/>
      <c r="E5" s="123"/>
      <c r="F5" s="121">
        <v>65</v>
      </c>
    </row>
    <row r="6" spans="1:19" x14ac:dyDescent="0.2">
      <c r="A6" s="125" t="s">
        <v>199</v>
      </c>
      <c r="B6" s="124"/>
      <c r="C6" s="124"/>
      <c r="D6" s="124"/>
      <c r="E6" s="123"/>
      <c r="F6" s="121">
        <v>4</v>
      </c>
    </row>
    <row r="7" spans="1:19" x14ac:dyDescent="0.2">
      <c r="A7" s="125" t="s">
        <v>198</v>
      </c>
      <c r="B7" s="124"/>
      <c r="C7" s="124"/>
      <c r="D7" s="124"/>
      <c r="E7" s="123"/>
      <c r="F7" s="121">
        <v>162.4</v>
      </c>
    </row>
    <row r="8" spans="1:19" x14ac:dyDescent="0.2">
      <c r="A8" s="125" t="s">
        <v>197</v>
      </c>
      <c r="B8" s="124"/>
      <c r="C8" s="124"/>
      <c r="D8" s="124"/>
      <c r="E8" s="123"/>
      <c r="F8" s="127" t="s">
        <v>196</v>
      </c>
    </row>
    <row r="9" spans="1:19" x14ac:dyDescent="0.2">
      <c r="A9" s="125" t="s">
        <v>195</v>
      </c>
      <c r="B9" s="124"/>
      <c r="C9" s="124"/>
      <c r="D9" s="124"/>
      <c r="E9" s="123"/>
      <c r="F9" s="126">
        <v>5.99</v>
      </c>
    </row>
    <row r="10" spans="1:19" x14ac:dyDescent="0.2">
      <c r="A10" s="125" t="s">
        <v>194</v>
      </c>
      <c r="B10" s="124"/>
      <c r="C10" s="124"/>
      <c r="D10" s="124"/>
      <c r="E10" s="123"/>
      <c r="F10" s="121">
        <v>10</v>
      </c>
    </row>
    <row r="11" spans="1:19" s="128" customFormat="1" ht="11.25" x14ac:dyDescent="0.2">
      <c r="A11" s="125" t="s">
        <v>193</v>
      </c>
      <c r="B11" s="124"/>
      <c r="C11" s="124"/>
      <c r="D11" s="124"/>
      <c r="E11" s="123"/>
      <c r="F11" s="122">
        <v>249</v>
      </c>
      <c r="G11" s="131"/>
      <c r="H11" s="131"/>
      <c r="I11" s="131"/>
      <c r="J11" s="131"/>
      <c r="K11" s="138"/>
      <c r="P11" s="130"/>
      <c r="Q11" s="130"/>
      <c r="R11" s="149"/>
    </row>
    <row r="12" spans="1:19" x14ac:dyDescent="0.2">
      <c r="A12" s="192" t="s">
        <v>223</v>
      </c>
      <c r="B12" s="193"/>
      <c r="C12" s="193"/>
      <c r="D12" s="193"/>
      <c r="E12" s="194"/>
      <c r="F12" s="121">
        <v>31.93</v>
      </c>
    </row>
    <row r="13" spans="1:19" x14ac:dyDescent="0.2">
      <c r="A13" s="119"/>
      <c r="B13" s="119"/>
      <c r="C13" s="119"/>
    </row>
    <row r="14" spans="1:19" s="83" customFormat="1" ht="90" x14ac:dyDescent="0.25">
      <c r="A14" s="111" t="s">
        <v>192</v>
      </c>
      <c r="B14" s="155" t="s">
        <v>207</v>
      </c>
      <c r="C14" s="111" t="s">
        <v>190</v>
      </c>
      <c r="D14" s="117" t="s">
        <v>206</v>
      </c>
      <c r="E14" s="154" t="s">
        <v>209</v>
      </c>
      <c r="F14" s="115" t="s">
        <v>187</v>
      </c>
      <c r="G14" s="114" t="s">
        <v>186</v>
      </c>
      <c r="H14" s="114" t="s">
        <v>185</v>
      </c>
      <c r="I14" s="114" t="s">
        <v>184</v>
      </c>
      <c r="J14" s="114" t="s">
        <v>183</v>
      </c>
      <c r="K14" s="111" t="s">
        <v>182</v>
      </c>
      <c r="L14" s="111" t="s">
        <v>181</v>
      </c>
      <c r="M14" s="113" t="s">
        <v>180</v>
      </c>
      <c r="N14" s="111" t="s">
        <v>179</v>
      </c>
      <c r="O14" s="111" t="s">
        <v>178</v>
      </c>
      <c r="P14" s="112" t="s">
        <v>177</v>
      </c>
      <c r="Q14" s="111" t="s">
        <v>204</v>
      </c>
      <c r="R14" s="146" t="s">
        <v>175</v>
      </c>
    </row>
    <row r="15" spans="1:19" s="104" customFormat="1" ht="11.25" x14ac:dyDescent="0.25">
      <c r="A15" s="105" t="s">
        <v>174</v>
      </c>
      <c r="B15" s="105" t="s">
        <v>174</v>
      </c>
      <c r="C15" s="105" t="s">
        <v>173</v>
      </c>
      <c r="D15" s="107" t="s">
        <v>172</v>
      </c>
      <c r="E15" s="109" t="s">
        <v>172</v>
      </c>
      <c r="F15" s="108" t="s">
        <v>172</v>
      </c>
      <c r="G15" s="107" t="s">
        <v>171</v>
      </c>
      <c r="H15" s="107" t="s">
        <v>170</v>
      </c>
      <c r="I15" s="105" t="s">
        <v>170</v>
      </c>
      <c r="J15" s="105" t="s">
        <v>170</v>
      </c>
      <c r="K15" s="105" t="s">
        <v>169</v>
      </c>
      <c r="L15" s="105" t="s">
        <v>169</v>
      </c>
      <c r="M15" s="105" t="s">
        <v>169</v>
      </c>
      <c r="N15" s="105" t="s">
        <v>169</v>
      </c>
      <c r="O15" s="105" t="s">
        <v>169</v>
      </c>
      <c r="P15" s="106">
        <f>engcivarq!C146</f>
        <v>0.21839080459770144</v>
      </c>
      <c r="Q15" s="105" t="s">
        <v>169</v>
      </c>
      <c r="R15" s="153" t="s">
        <v>169</v>
      </c>
    </row>
    <row r="16" spans="1:19" s="104" customFormat="1" ht="11.25" x14ac:dyDescent="0.25">
      <c r="A16" s="102">
        <v>200</v>
      </c>
      <c r="B16" s="152">
        <v>60</v>
      </c>
      <c r="C16" s="100">
        <f t="shared" ref="C16:C42" si="0">((A16+B16)/10)</f>
        <v>26</v>
      </c>
      <c r="D16" s="99">
        <f t="shared" ref="D16:D42" si="1">((A16+B16)/80)</f>
        <v>3.25</v>
      </c>
      <c r="E16" s="151">
        <v>12</v>
      </c>
      <c r="F16" s="97">
        <f t="shared" ref="F16:F42" si="2">D16+E16</f>
        <v>15.25</v>
      </c>
      <c r="G16" s="96">
        <f t="shared" ref="G16:G42" si="3">F16/8</f>
        <v>1.90625</v>
      </c>
      <c r="H16" s="145">
        <f t="shared" ref="H16:H42" si="4">ROUNDUP(G16,0)</f>
        <v>2</v>
      </c>
      <c r="I16" s="94">
        <f t="shared" ref="I16:I42" si="5">H16-0.5</f>
        <v>1.5</v>
      </c>
      <c r="J16" s="94">
        <v>2</v>
      </c>
      <c r="K16" s="91">
        <f t="shared" ref="K16:K42" si="6">C16*$F$9</f>
        <v>155.74</v>
      </c>
      <c r="L16" s="93">
        <f t="shared" ref="L16:L42" si="7">H16*$F$7</f>
        <v>324.8</v>
      </c>
      <c r="M16" s="93">
        <f t="shared" ref="M16:M42" si="8">(I16*$F$11)*J16</f>
        <v>747</v>
      </c>
      <c r="N16" s="93">
        <f t="shared" ref="N16:N42" si="9">+(ROUNDUP(F16,0))*$F$12</f>
        <v>510.88</v>
      </c>
      <c r="O16" s="92">
        <f t="shared" ref="O16:O42" si="10">K16+L16+M16+N16</f>
        <v>1738.42</v>
      </c>
      <c r="P16" s="91">
        <f t="shared" ref="P16:P42" si="11">O16*$P$15</f>
        <v>379.65494252873617</v>
      </c>
      <c r="Q16" s="90">
        <f t="shared" ref="Q16:Q42" si="12">O16+P16</f>
        <v>2118.0749425287363</v>
      </c>
      <c r="R16" s="144">
        <f t="shared" ref="R16:R42" si="13">Q16/H16</f>
        <v>1059.0374712643682</v>
      </c>
      <c r="S16" s="88"/>
    </row>
    <row r="17" spans="1:19" s="83" customFormat="1" ht="11.25" x14ac:dyDescent="0.25">
      <c r="A17" s="102">
        <v>300</v>
      </c>
      <c r="B17" s="152">
        <v>60</v>
      </c>
      <c r="C17" s="100">
        <f t="shared" si="0"/>
        <v>36</v>
      </c>
      <c r="D17" s="99">
        <f t="shared" si="1"/>
        <v>4.5</v>
      </c>
      <c r="E17" s="151">
        <v>12</v>
      </c>
      <c r="F17" s="97">
        <f t="shared" si="2"/>
        <v>16.5</v>
      </c>
      <c r="G17" s="96">
        <f t="shared" si="3"/>
        <v>2.0625</v>
      </c>
      <c r="H17" s="145">
        <f t="shared" si="4"/>
        <v>3</v>
      </c>
      <c r="I17" s="94">
        <f t="shared" si="5"/>
        <v>2.5</v>
      </c>
      <c r="J17" s="94">
        <v>2</v>
      </c>
      <c r="K17" s="91">
        <f t="shared" si="6"/>
        <v>215.64000000000001</v>
      </c>
      <c r="L17" s="93">
        <f t="shared" si="7"/>
        <v>487.20000000000005</v>
      </c>
      <c r="M17" s="93">
        <f t="shared" si="8"/>
        <v>1245</v>
      </c>
      <c r="N17" s="93">
        <f t="shared" si="9"/>
        <v>542.80999999999995</v>
      </c>
      <c r="O17" s="92">
        <f t="shared" si="10"/>
        <v>2490.65</v>
      </c>
      <c r="P17" s="91">
        <f t="shared" si="11"/>
        <v>543.93505747126505</v>
      </c>
      <c r="Q17" s="90">
        <f t="shared" si="12"/>
        <v>3034.5850574712649</v>
      </c>
      <c r="R17" s="144">
        <f t="shared" si="13"/>
        <v>1011.5283524904216</v>
      </c>
      <c r="S17" s="103"/>
    </row>
    <row r="18" spans="1:19" s="83" customFormat="1" ht="11.25" x14ac:dyDescent="0.25">
      <c r="A18" s="102">
        <v>400</v>
      </c>
      <c r="B18" s="152">
        <v>60</v>
      </c>
      <c r="C18" s="100">
        <f t="shared" si="0"/>
        <v>46</v>
      </c>
      <c r="D18" s="99">
        <f t="shared" si="1"/>
        <v>5.75</v>
      </c>
      <c r="E18" s="151">
        <v>12</v>
      </c>
      <c r="F18" s="97">
        <f t="shared" si="2"/>
        <v>17.75</v>
      </c>
      <c r="G18" s="96">
        <f t="shared" si="3"/>
        <v>2.21875</v>
      </c>
      <c r="H18" s="145">
        <f t="shared" si="4"/>
        <v>3</v>
      </c>
      <c r="I18" s="94">
        <f t="shared" si="5"/>
        <v>2.5</v>
      </c>
      <c r="J18" s="94">
        <v>2</v>
      </c>
      <c r="K18" s="91">
        <f t="shared" si="6"/>
        <v>275.54000000000002</v>
      </c>
      <c r="L18" s="93">
        <f t="shared" si="7"/>
        <v>487.20000000000005</v>
      </c>
      <c r="M18" s="93">
        <f t="shared" si="8"/>
        <v>1245</v>
      </c>
      <c r="N18" s="93">
        <f t="shared" si="9"/>
        <v>574.74</v>
      </c>
      <c r="O18" s="92">
        <f t="shared" si="10"/>
        <v>2582.48</v>
      </c>
      <c r="P18" s="91">
        <f t="shared" si="11"/>
        <v>563.98988505747207</v>
      </c>
      <c r="Q18" s="90">
        <f t="shared" si="12"/>
        <v>3146.4698850574723</v>
      </c>
      <c r="R18" s="144">
        <f t="shared" si="13"/>
        <v>1048.8232950191575</v>
      </c>
      <c r="S18" s="88"/>
    </row>
    <row r="19" spans="1:19" s="83" customFormat="1" ht="11.25" x14ac:dyDescent="0.25">
      <c r="A19" s="102">
        <v>500</v>
      </c>
      <c r="B19" s="152">
        <v>60</v>
      </c>
      <c r="C19" s="100">
        <f t="shared" si="0"/>
        <v>56</v>
      </c>
      <c r="D19" s="99">
        <f t="shared" si="1"/>
        <v>7</v>
      </c>
      <c r="E19" s="151">
        <v>12</v>
      </c>
      <c r="F19" s="97">
        <f t="shared" si="2"/>
        <v>19</v>
      </c>
      <c r="G19" s="96">
        <f t="shared" si="3"/>
        <v>2.375</v>
      </c>
      <c r="H19" s="145">
        <f t="shared" si="4"/>
        <v>3</v>
      </c>
      <c r="I19" s="94">
        <f t="shared" si="5"/>
        <v>2.5</v>
      </c>
      <c r="J19" s="94">
        <v>2</v>
      </c>
      <c r="K19" s="91">
        <f t="shared" si="6"/>
        <v>335.44</v>
      </c>
      <c r="L19" s="93">
        <f t="shared" si="7"/>
        <v>487.20000000000005</v>
      </c>
      <c r="M19" s="93">
        <f t="shared" si="8"/>
        <v>1245</v>
      </c>
      <c r="N19" s="93">
        <f t="shared" si="9"/>
        <v>606.66999999999996</v>
      </c>
      <c r="O19" s="92">
        <f t="shared" si="10"/>
        <v>2674.3100000000004</v>
      </c>
      <c r="P19" s="91">
        <f t="shared" si="11"/>
        <v>584.04471264367896</v>
      </c>
      <c r="Q19" s="90">
        <f t="shared" si="12"/>
        <v>3258.3547126436792</v>
      </c>
      <c r="R19" s="144">
        <f t="shared" si="13"/>
        <v>1086.1182375478932</v>
      </c>
      <c r="S19" s="88"/>
    </row>
    <row r="20" spans="1:19" s="83" customFormat="1" ht="11.25" x14ac:dyDescent="0.25">
      <c r="A20" s="102">
        <v>600</v>
      </c>
      <c r="B20" s="152">
        <v>60</v>
      </c>
      <c r="C20" s="100">
        <f t="shared" si="0"/>
        <v>66</v>
      </c>
      <c r="D20" s="99">
        <f t="shared" si="1"/>
        <v>8.25</v>
      </c>
      <c r="E20" s="151">
        <v>12</v>
      </c>
      <c r="F20" s="97">
        <f t="shared" si="2"/>
        <v>20.25</v>
      </c>
      <c r="G20" s="96">
        <f t="shared" si="3"/>
        <v>2.53125</v>
      </c>
      <c r="H20" s="145">
        <f t="shared" si="4"/>
        <v>3</v>
      </c>
      <c r="I20" s="94">
        <f t="shared" si="5"/>
        <v>2.5</v>
      </c>
      <c r="J20" s="94">
        <v>2</v>
      </c>
      <c r="K20" s="91">
        <f t="shared" si="6"/>
        <v>395.34000000000003</v>
      </c>
      <c r="L20" s="93">
        <f t="shared" si="7"/>
        <v>487.20000000000005</v>
      </c>
      <c r="M20" s="93">
        <f t="shared" si="8"/>
        <v>1245</v>
      </c>
      <c r="N20" s="93">
        <f t="shared" si="9"/>
        <v>670.53</v>
      </c>
      <c r="O20" s="92">
        <f t="shared" si="10"/>
        <v>2798.0699999999997</v>
      </c>
      <c r="P20" s="91">
        <f t="shared" si="11"/>
        <v>611.07275862069037</v>
      </c>
      <c r="Q20" s="90">
        <f t="shared" si="12"/>
        <v>3409.1427586206901</v>
      </c>
      <c r="R20" s="144">
        <f t="shared" si="13"/>
        <v>1136.38091954023</v>
      </c>
      <c r="S20" s="88"/>
    </row>
    <row r="21" spans="1:19" s="83" customFormat="1" ht="11.25" x14ac:dyDescent="0.25">
      <c r="A21" s="102">
        <v>700</v>
      </c>
      <c r="B21" s="152">
        <v>60</v>
      </c>
      <c r="C21" s="100">
        <f t="shared" si="0"/>
        <v>76</v>
      </c>
      <c r="D21" s="99">
        <f t="shared" si="1"/>
        <v>9.5</v>
      </c>
      <c r="E21" s="151">
        <v>12</v>
      </c>
      <c r="F21" s="97">
        <f t="shared" si="2"/>
        <v>21.5</v>
      </c>
      <c r="G21" s="96">
        <f t="shared" si="3"/>
        <v>2.6875</v>
      </c>
      <c r="H21" s="145">
        <f t="shared" si="4"/>
        <v>3</v>
      </c>
      <c r="I21" s="94">
        <f t="shared" si="5"/>
        <v>2.5</v>
      </c>
      <c r="J21" s="94">
        <v>2</v>
      </c>
      <c r="K21" s="91">
        <f t="shared" si="6"/>
        <v>455.24</v>
      </c>
      <c r="L21" s="93">
        <f t="shared" si="7"/>
        <v>487.20000000000005</v>
      </c>
      <c r="M21" s="93">
        <f t="shared" si="8"/>
        <v>1245</v>
      </c>
      <c r="N21" s="93">
        <f t="shared" si="9"/>
        <v>702.46</v>
      </c>
      <c r="O21" s="92">
        <f t="shared" si="10"/>
        <v>2889.9</v>
      </c>
      <c r="P21" s="91">
        <f t="shared" si="11"/>
        <v>631.12758620689738</v>
      </c>
      <c r="Q21" s="90">
        <f t="shared" si="12"/>
        <v>3521.0275862068975</v>
      </c>
      <c r="R21" s="144">
        <f t="shared" si="13"/>
        <v>1173.6758620689659</v>
      </c>
      <c r="S21" s="88"/>
    </row>
    <row r="22" spans="1:19" s="83" customFormat="1" ht="11.25" x14ac:dyDescent="0.25">
      <c r="A22" s="102">
        <v>800</v>
      </c>
      <c r="B22" s="152">
        <v>60</v>
      </c>
      <c r="C22" s="100">
        <f t="shared" si="0"/>
        <v>86</v>
      </c>
      <c r="D22" s="99">
        <f t="shared" si="1"/>
        <v>10.75</v>
      </c>
      <c r="E22" s="151">
        <v>12</v>
      </c>
      <c r="F22" s="97">
        <f t="shared" si="2"/>
        <v>22.75</v>
      </c>
      <c r="G22" s="96">
        <f t="shared" si="3"/>
        <v>2.84375</v>
      </c>
      <c r="H22" s="145">
        <f t="shared" si="4"/>
        <v>3</v>
      </c>
      <c r="I22" s="94">
        <f t="shared" si="5"/>
        <v>2.5</v>
      </c>
      <c r="J22" s="94">
        <v>2</v>
      </c>
      <c r="K22" s="91">
        <f t="shared" si="6"/>
        <v>515.14</v>
      </c>
      <c r="L22" s="93">
        <f t="shared" si="7"/>
        <v>487.20000000000005</v>
      </c>
      <c r="M22" s="93">
        <f t="shared" si="8"/>
        <v>1245</v>
      </c>
      <c r="N22" s="93">
        <f t="shared" si="9"/>
        <v>734.39</v>
      </c>
      <c r="O22" s="92">
        <f t="shared" si="10"/>
        <v>2981.73</v>
      </c>
      <c r="P22" s="91">
        <f t="shared" si="11"/>
        <v>651.18241379310427</v>
      </c>
      <c r="Q22" s="90">
        <f t="shared" si="12"/>
        <v>3632.9124137931044</v>
      </c>
      <c r="R22" s="144">
        <f t="shared" si="13"/>
        <v>1210.9708045977015</v>
      </c>
      <c r="S22" s="88"/>
    </row>
    <row r="23" spans="1:19" s="83" customFormat="1" ht="11.25" x14ac:dyDescent="0.25">
      <c r="A23" s="102">
        <v>900</v>
      </c>
      <c r="B23" s="152">
        <v>60</v>
      </c>
      <c r="C23" s="100">
        <f t="shared" si="0"/>
        <v>96</v>
      </c>
      <c r="D23" s="99">
        <f t="shared" si="1"/>
        <v>12</v>
      </c>
      <c r="E23" s="151">
        <v>12</v>
      </c>
      <c r="F23" s="97">
        <f t="shared" si="2"/>
        <v>24</v>
      </c>
      <c r="G23" s="96">
        <f t="shared" si="3"/>
        <v>3</v>
      </c>
      <c r="H23" s="145">
        <f t="shared" si="4"/>
        <v>3</v>
      </c>
      <c r="I23" s="94">
        <f t="shared" si="5"/>
        <v>2.5</v>
      </c>
      <c r="J23" s="94">
        <v>2</v>
      </c>
      <c r="K23" s="91">
        <f t="shared" si="6"/>
        <v>575.04</v>
      </c>
      <c r="L23" s="93">
        <f t="shared" si="7"/>
        <v>487.20000000000005</v>
      </c>
      <c r="M23" s="93">
        <f t="shared" si="8"/>
        <v>1245</v>
      </c>
      <c r="N23" s="93">
        <f t="shared" si="9"/>
        <v>766.31999999999994</v>
      </c>
      <c r="O23" s="92">
        <f t="shared" si="10"/>
        <v>3073.5599999999995</v>
      </c>
      <c r="P23" s="91">
        <f t="shared" si="11"/>
        <v>671.23724137931117</v>
      </c>
      <c r="Q23" s="90">
        <f t="shared" si="12"/>
        <v>3744.7972413793104</v>
      </c>
      <c r="R23" s="144">
        <f t="shared" si="13"/>
        <v>1248.2657471264367</v>
      </c>
      <c r="S23" s="88"/>
    </row>
    <row r="24" spans="1:19" s="83" customFormat="1" ht="11.25" x14ac:dyDescent="0.25">
      <c r="A24" s="102">
        <v>1000</v>
      </c>
      <c r="B24" s="152">
        <v>60</v>
      </c>
      <c r="C24" s="100">
        <f t="shared" si="0"/>
        <v>106</v>
      </c>
      <c r="D24" s="99">
        <f t="shared" si="1"/>
        <v>13.25</v>
      </c>
      <c r="E24" s="151">
        <v>12</v>
      </c>
      <c r="F24" s="97">
        <f t="shared" si="2"/>
        <v>25.25</v>
      </c>
      <c r="G24" s="96">
        <f t="shared" si="3"/>
        <v>3.15625</v>
      </c>
      <c r="H24" s="145">
        <f t="shared" si="4"/>
        <v>4</v>
      </c>
      <c r="I24" s="94">
        <f t="shared" si="5"/>
        <v>3.5</v>
      </c>
      <c r="J24" s="94">
        <v>2</v>
      </c>
      <c r="K24" s="91">
        <f t="shared" si="6"/>
        <v>634.94000000000005</v>
      </c>
      <c r="L24" s="93">
        <f t="shared" si="7"/>
        <v>649.6</v>
      </c>
      <c r="M24" s="93">
        <f t="shared" si="8"/>
        <v>1743</v>
      </c>
      <c r="N24" s="93">
        <f t="shared" si="9"/>
        <v>830.18</v>
      </c>
      <c r="O24" s="92">
        <f t="shared" si="10"/>
        <v>3857.72</v>
      </c>
      <c r="P24" s="91">
        <f t="shared" si="11"/>
        <v>842.49057471264473</v>
      </c>
      <c r="Q24" s="90">
        <f t="shared" si="12"/>
        <v>4700.2105747126443</v>
      </c>
      <c r="R24" s="144">
        <f t="shared" si="13"/>
        <v>1175.0526436781611</v>
      </c>
      <c r="S24" s="88"/>
    </row>
    <row r="25" spans="1:19" s="83" customFormat="1" ht="11.25" x14ac:dyDescent="0.25">
      <c r="A25" s="102">
        <v>1100</v>
      </c>
      <c r="B25" s="152">
        <v>60</v>
      </c>
      <c r="C25" s="100">
        <f t="shared" si="0"/>
        <v>116</v>
      </c>
      <c r="D25" s="99">
        <f t="shared" si="1"/>
        <v>14.5</v>
      </c>
      <c r="E25" s="151">
        <v>12</v>
      </c>
      <c r="F25" s="97">
        <f t="shared" si="2"/>
        <v>26.5</v>
      </c>
      <c r="G25" s="96">
        <f t="shared" si="3"/>
        <v>3.3125</v>
      </c>
      <c r="H25" s="145">
        <f t="shared" si="4"/>
        <v>4</v>
      </c>
      <c r="I25" s="94">
        <f t="shared" si="5"/>
        <v>3.5</v>
      </c>
      <c r="J25" s="94">
        <v>2</v>
      </c>
      <c r="K25" s="91">
        <f t="shared" si="6"/>
        <v>694.84</v>
      </c>
      <c r="L25" s="93">
        <f t="shared" si="7"/>
        <v>649.6</v>
      </c>
      <c r="M25" s="93">
        <f t="shared" si="8"/>
        <v>1743</v>
      </c>
      <c r="N25" s="93">
        <f t="shared" si="9"/>
        <v>862.11</v>
      </c>
      <c r="O25" s="92">
        <f t="shared" si="10"/>
        <v>3949.55</v>
      </c>
      <c r="P25" s="91">
        <f t="shared" si="11"/>
        <v>862.54540229885174</v>
      </c>
      <c r="Q25" s="90">
        <f t="shared" si="12"/>
        <v>4812.0954022988517</v>
      </c>
      <c r="R25" s="144">
        <f t="shared" si="13"/>
        <v>1203.0238505747129</v>
      </c>
      <c r="S25" s="88"/>
    </row>
    <row r="26" spans="1:19" s="83" customFormat="1" ht="11.25" x14ac:dyDescent="0.25">
      <c r="A26" s="102">
        <v>1200</v>
      </c>
      <c r="B26" s="152">
        <v>60</v>
      </c>
      <c r="C26" s="100">
        <f t="shared" si="0"/>
        <v>126</v>
      </c>
      <c r="D26" s="99">
        <f t="shared" si="1"/>
        <v>15.75</v>
      </c>
      <c r="E26" s="151">
        <v>12</v>
      </c>
      <c r="F26" s="97">
        <f t="shared" si="2"/>
        <v>27.75</v>
      </c>
      <c r="G26" s="96">
        <f t="shared" si="3"/>
        <v>3.46875</v>
      </c>
      <c r="H26" s="145">
        <f t="shared" si="4"/>
        <v>4</v>
      </c>
      <c r="I26" s="94">
        <f t="shared" si="5"/>
        <v>3.5</v>
      </c>
      <c r="J26" s="94">
        <v>2</v>
      </c>
      <c r="K26" s="91">
        <f t="shared" si="6"/>
        <v>754.74</v>
      </c>
      <c r="L26" s="93">
        <f t="shared" si="7"/>
        <v>649.6</v>
      </c>
      <c r="M26" s="93">
        <f t="shared" si="8"/>
        <v>1743</v>
      </c>
      <c r="N26" s="93">
        <f t="shared" si="9"/>
        <v>894.04</v>
      </c>
      <c r="O26" s="92">
        <f t="shared" si="10"/>
        <v>4041.38</v>
      </c>
      <c r="P26" s="91">
        <f t="shared" si="11"/>
        <v>882.60022988505864</v>
      </c>
      <c r="Q26" s="90">
        <f t="shared" si="12"/>
        <v>4923.9802298850591</v>
      </c>
      <c r="R26" s="144">
        <f t="shared" si="13"/>
        <v>1230.9950574712648</v>
      </c>
      <c r="S26" s="88"/>
    </row>
    <row r="27" spans="1:19" s="83" customFormat="1" ht="11.25" x14ac:dyDescent="0.25">
      <c r="A27" s="102">
        <v>1300</v>
      </c>
      <c r="B27" s="152">
        <v>60</v>
      </c>
      <c r="C27" s="100">
        <f t="shared" si="0"/>
        <v>136</v>
      </c>
      <c r="D27" s="99">
        <f t="shared" si="1"/>
        <v>17</v>
      </c>
      <c r="E27" s="151">
        <v>12</v>
      </c>
      <c r="F27" s="97">
        <f t="shared" si="2"/>
        <v>29</v>
      </c>
      <c r="G27" s="96">
        <f t="shared" si="3"/>
        <v>3.625</v>
      </c>
      <c r="H27" s="145">
        <f t="shared" si="4"/>
        <v>4</v>
      </c>
      <c r="I27" s="94">
        <f t="shared" si="5"/>
        <v>3.5</v>
      </c>
      <c r="J27" s="94">
        <v>2</v>
      </c>
      <c r="K27" s="91">
        <f t="shared" si="6"/>
        <v>814.64</v>
      </c>
      <c r="L27" s="93">
        <f t="shared" si="7"/>
        <v>649.6</v>
      </c>
      <c r="M27" s="93">
        <f t="shared" si="8"/>
        <v>1743</v>
      </c>
      <c r="N27" s="93">
        <f t="shared" si="9"/>
        <v>925.97</v>
      </c>
      <c r="O27" s="92">
        <f t="shared" si="10"/>
        <v>4133.21</v>
      </c>
      <c r="P27" s="91">
        <f t="shared" si="11"/>
        <v>902.65505747126554</v>
      </c>
      <c r="Q27" s="90">
        <f t="shared" si="12"/>
        <v>5035.8650574712656</v>
      </c>
      <c r="R27" s="144">
        <f t="shared" si="13"/>
        <v>1258.9662643678164</v>
      </c>
      <c r="S27" s="88"/>
    </row>
    <row r="28" spans="1:19" s="83" customFormat="1" ht="11.25" x14ac:dyDescent="0.25">
      <c r="A28" s="102">
        <v>1400</v>
      </c>
      <c r="B28" s="152">
        <v>60</v>
      </c>
      <c r="C28" s="100">
        <f t="shared" si="0"/>
        <v>146</v>
      </c>
      <c r="D28" s="99">
        <f t="shared" si="1"/>
        <v>18.25</v>
      </c>
      <c r="E28" s="151">
        <v>12</v>
      </c>
      <c r="F28" s="97">
        <f t="shared" si="2"/>
        <v>30.25</v>
      </c>
      <c r="G28" s="96">
        <f t="shared" si="3"/>
        <v>3.78125</v>
      </c>
      <c r="H28" s="145">
        <f t="shared" si="4"/>
        <v>4</v>
      </c>
      <c r="I28" s="94">
        <f t="shared" si="5"/>
        <v>3.5</v>
      </c>
      <c r="J28" s="94">
        <v>2</v>
      </c>
      <c r="K28" s="91">
        <f t="shared" si="6"/>
        <v>874.54000000000008</v>
      </c>
      <c r="L28" s="93">
        <f t="shared" si="7"/>
        <v>649.6</v>
      </c>
      <c r="M28" s="93">
        <f t="shared" si="8"/>
        <v>1743</v>
      </c>
      <c r="N28" s="93">
        <f t="shared" si="9"/>
        <v>989.83</v>
      </c>
      <c r="O28" s="92">
        <f t="shared" si="10"/>
        <v>4256.97</v>
      </c>
      <c r="P28" s="91">
        <f t="shared" si="11"/>
        <v>929.68310344827717</v>
      </c>
      <c r="Q28" s="90">
        <f t="shared" si="12"/>
        <v>5186.6531034482778</v>
      </c>
      <c r="R28" s="144">
        <f t="shared" si="13"/>
        <v>1296.6632758620694</v>
      </c>
      <c r="S28" s="88"/>
    </row>
    <row r="29" spans="1:19" s="83" customFormat="1" ht="11.25" x14ac:dyDescent="0.25">
      <c r="A29" s="102">
        <v>1500</v>
      </c>
      <c r="B29" s="152">
        <v>60</v>
      </c>
      <c r="C29" s="100">
        <f t="shared" si="0"/>
        <v>156</v>
      </c>
      <c r="D29" s="99">
        <f t="shared" si="1"/>
        <v>19.5</v>
      </c>
      <c r="E29" s="151">
        <v>12</v>
      </c>
      <c r="F29" s="97">
        <f t="shared" si="2"/>
        <v>31.5</v>
      </c>
      <c r="G29" s="96">
        <f t="shared" si="3"/>
        <v>3.9375</v>
      </c>
      <c r="H29" s="145">
        <f t="shared" si="4"/>
        <v>4</v>
      </c>
      <c r="I29" s="94">
        <f t="shared" si="5"/>
        <v>3.5</v>
      </c>
      <c r="J29" s="94">
        <v>2</v>
      </c>
      <c r="K29" s="91">
        <f t="shared" si="6"/>
        <v>934.44</v>
      </c>
      <c r="L29" s="93">
        <f t="shared" si="7"/>
        <v>649.6</v>
      </c>
      <c r="M29" s="93">
        <f t="shared" si="8"/>
        <v>1743</v>
      </c>
      <c r="N29" s="93">
        <f t="shared" si="9"/>
        <v>1021.76</v>
      </c>
      <c r="O29" s="92">
        <f t="shared" si="10"/>
        <v>4348.8</v>
      </c>
      <c r="P29" s="91">
        <f t="shared" si="11"/>
        <v>949.73793103448406</v>
      </c>
      <c r="Q29" s="90">
        <f t="shared" si="12"/>
        <v>5298.5379310344842</v>
      </c>
      <c r="R29" s="144">
        <f t="shared" si="13"/>
        <v>1324.6344827586211</v>
      </c>
      <c r="S29" s="88"/>
    </row>
    <row r="30" spans="1:19" s="83" customFormat="1" ht="11.25" x14ac:dyDescent="0.25">
      <c r="A30" s="102">
        <v>1600</v>
      </c>
      <c r="B30" s="152">
        <v>60</v>
      </c>
      <c r="C30" s="100">
        <f t="shared" si="0"/>
        <v>166</v>
      </c>
      <c r="D30" s="99">
        <f t="shared" si="1"/>
        <v>20.75</v>
      </c>
      <c r="E30" s="151">
        <v>12</v>
      </c>
      <c r="F30" s="97">
        <f t="shared" si="2"/>
        <v>32.75</v>
      </c>
      <c r="G30" s="96">
        <f t="shared" si="3"/>
        <v>4.09375</v>
      </c>
      <c r="H30" s="145">
        <f t="shared" si="4"/>
        <v>5</v>
      </c>
      <c r="I30" s="94">
        <f t="shared" si="5"/>
        <v>4.5</v>
      </c>
      <c r="J30" s="94">
        <v>2</v>
      </c>
      <c r="K30" s="91">
        <f t="shared" si="6"/>
        <v>994.34</v>
      </c>
      <c r="L30" s="93">
        <f t="shared" si="7"/>
        <v>812</v>
      </c>
      <c r="M30" s="93">
        <f t="shared" si="8"/>
        <v>2241</v>
      </c>
      <c r="N30" s="93">
        <f t="shared" si="9"/>
        <v>1053.69</v>
      </c>
      <c r="O30" s="92">
        <f t="shared" si="10"/>
        <v>5101.0300000000007</v>
      </c>
      <c r="P30" s="91">
        <f t="shared" si="11"/>
        <v>1114.0180459770131</v>
      </c>
      <c r="Q30" s="90">
        <f t="shared" si="12"/>
        <v>6215.0480459770133</v>
      </c>
      <c r="R30" s="144">
        <f t="shared" si="13"/>
        <v>1243.0096091954026</v>
      </c>
      <c r="S30" s="88"/>
    </row>
    <row r="31" spans="1:19" s="83" customFormat="1" ht="11.25" x14ac:dyDescent="0.25">
      <c r="A31" s="102">
        <v>1700</v>
      </c>
      <c r="B31" s="152">
        <v>60</v>
      </c>
      <c r="C31" s="100">
        <f t="shared" si="0"/>
        <v>176</v>
      </c>
      <c r="D31" s="99">
        <f t="shared" si="1"/>
        <v>22</v>
      </c>
      <c r="E31" s="151">
        <v>12</v>
      </c>
      <c r="F31" s="97">
        <f t="shared" si="2"/>
        <v>34</v>
      </c>
      <c r="G31" s="96">
        <f t="shared" si="3"/>
        <v>4.25</v>
      </c>
      <c r="H31" s="145">
        <f t="shared" si="4"/>
        <v>5</v>
      </c>
      <c r="I31" s="94">
        <f t="shared" si="5"/>
        <v>4.5</v>
      </c>
      <c r="J31" s="94">
        <v>2</v>
      </c>
      <c r="K31" s="91">
        <f t="shared" si="6"/>
        <v>1054.24</v>
      </c>
      <c r="L31" s="93">
        <f t="shared" si="7"/>
        <v>812</v>
      </c>
      <c r="M31" s="93">
        <f t="shared" si="8"/>
        <v>2241</v>
      </c>
      <c r="N31" s="93">
        <f t="shared" si="9"/>
        <v>1085.6199999999999</v>
      </c>
      <c r="O31" s="92">
        <f t="shared" si="10"/>
        <v>5192.8599999999997</v>
      </c>
      <c r="P31" s="91">
        <f t="shared" si="11"/>
        <v>1134.0728735632199</v>
      </c>
      <c r="Q31" s="90">
        <f t="shared" si="12"/>
        <v>6326.9328735632198</v>
      </c>
      <c r="R31" s="144">
        <f t="shared" si="13"/>
        <v>1265.386574712644</v>
      </c>
      <c r="S31" s="88"/>
    </row>
    <row r="32" spans="1:19" s="83" customFormat="1" ht="11.25" x14ac:dyDescent="0.25">
      <c r="A32" s="102">
        <v>1800</v>
      </c>
      <c r="B32" s="152">
        <v>60</v>
      </c>
      <c r="C32" s="100">
        <f t="shared" si="0"/>
        <v>186</v>
      </c>
      <c r="D32" s="99">
        <f t="shared" si="1"/>
        <v>23.25</v>
      </c>
      <c r="E32" s="151">
        <v>12</v>
      </c>
      <c r="F32" s="97">
        <f t="shared" si="2"/>
        <v>35.25</v>
      </c>
      <c r="G32" s="96">
        <f t="shared" si="3"/>
        <v>4.40625</v>
      </c>
      <c r="H32" s="145">
        <f t="shared" si="4"/>
        <v>5</v>
      </c>
      <c r="I32" s="94">
        <f t="shared" si="5"/>
        <v>4.5</v>
      </c>
      <c r="J32" s="94">
        <v>2</v>
      </c>
      <c r="K32" s="91">
        <f t="shared" si="6"/>
        <v>1114.1400000000001</v>
      </c>
      <c r="L32" s="93">
        <f t="shared" si="7"/>
        <v>812</v>
      </c>
      <c r="M32" s="93">
        <f t="shared" si="8"/>
        <v>2241</v>
      </c>
      <c r="N32" s="93">
        <f t="shared" si="9"/>
        <v>1149.48</v>
      </c>
      <c r="O32" s="92">
        <f t="shared" si="10"/>
        <v>5316.6200000000008</v>
      </c>
      <c r="P32" s="91">
        <f t="shared" si="11"/>
        <v>1161.1009195402316</v>
      </c>
      <c r="Q32" s="90">
        <f t="shared" si="12"/>
        <v>6477.720919540232</v>
      </c>
      <c r="R32" s="144">
        <f t="shared" si="13"/>
        <v>1295.5441839080463</v>
      </c>
      <c r="S32" s="88"/>
    </row>
    <row r="33" spans="1:19" s="83" customFormat="1" ht="11.25" x14ac:dyDescent="0.25">
      <c r="A33" s="102">
        <v>1900</v>
      </c>
      <c r="B33" s="152">
        <v>60</v>
      </c>
      <c r="C33" s="100">
        <f t="shared" si="0"/>
        <v>196</v>
      </c>
      <c r="D33" s="99">
        <f t="shared" si="1"/>
        <v>24.5</v>
      </c>
      <c r="E33" s="151">
        <v>12</v>
      </c>
      <c r="F33" s="97">
        <f t="shared" si="2"/>
        <v>36.5</v>
      </c>
      <c r="G33" s="96">
        <f t="shared" si="3"/>
        <v>4.5625</v>
      </c>
      <c r="H33" s="145">
        <f t="shared" si="4"/>
        <v>5</v>
      </c>
      <c r="I33" s="94">
        <f t="shared" si="5"/>
        <v>4.5</v>
      </c>
      <c r="J33" s="94">
        <v>2</v>
      </c>
      <c r="K33" s="91">
        <f t="shared" si="6"/>
        <v>1174.04</v>
      </c>
      <c r="L33" s="93">
        <f t="shared" si="7"/>
        <v>812</v>
      </c>
      <c r="M33" s="93">
        <f t="shared" si="8"/>
        <v>2241</v>
      </c>
      <c r="N33" s="93">
        <f t="shared" si="9"/>
        <v>1181.4100000000001</v>
      </c>
      <c r="O33" s="92">
        <f t="shared" si="10"/>
        <v>5408.45</v>
      </c>
      <c r="P33" s="91">
        <f t="shared" si="11"/>
        <v>1181.1557471264382</v>
      </c>
      <c r="Q33" s="90">
        <f t="shared" si="12"/>
        <v>6589.6057471264376</v>
      </c>
      <c r="R33" s="144">
        <f t="shared" si="13"/>
        <v>1317.9211494252875</v>
      </c>
      <c r="S33" s="88"/>
    </row>
    <row r="34" spans="1:19" s="83" customFormat="1" ht="11.25" x14ac:dyDescent="0.25">
      <c r="A34" s="102">
        <v>2000</v>
      </c>
      <c r="B34" s="152">
        <v>60</v>
      </c>
      <c r="C34" s="100">
        <f t="shared" si="0"/>
        <v>206</v>
      </c>
      <c r="D34" s="99">
        <f t="shared" si="1"/>
        <v>25.75</v>
      </c>
      <c r="E34" s="151">
        <v>12</v>
      </c>
      <c r="F34" s="97">
        <f t="shared" si="2"/>
        <v>37.75</v>
      </c>
      <c r="G34" s="96">
        <f t="shared" si="3"/>
        <v>4.71875</v>
      </c>
      <c r="H34" s="145">
        <f t="shared" si="4"/>
        <v>5</v>
      </c>
      <c r="I34" s="94">
        <f t="shared" si="5"/>
        <v>4.5</v>
      </c>
      <c r="J34" s="94">
        <v>2</v>
      </c>
      <c r="K34" s="91">
        <f t="shared" si="6"/>
        <v>1233.94</v>
      </c>
      <c r="L34" s="93">
        <f t="shared" si="7"/>
        <v>812</v>
      </c>
      <c r="M34" s="93">
        <f t="shared" si="8"/>
        <v>2241</v>
      </c>
      <c r="N34" s="93">
        <f t="shared" si="9"/>
        <v>1213.3399999999999</v>
      </c>
      <c r="O34" s="92">
        <f t="shared" si="10"/>
        <v>5500.2800000000007</v>
      </c>
      <c r="P34" s="91">
        <f t="shared" si="11"/>
        <v>1201.2105747126454</v>
      </c>
      <c r="Q34" s="90">
        <f t="shared" si="12"/>
        <v>6701.4905747126459</v>
      </c>
      <c r="R34" s="144">
        <f t="shared" si="13"/>
        <v>1340.2981149425291</v>
      </c>
      <c r="S34" s="88"/>
    </row>
    <row r="35" spans="1:19" s="83" customFormat="1" ht="11.25" x14ac:dyDescent="0.25">
      <c r="A35" s="102">
        <v>2100</v>
      </c>
      <c r="B35" s="152">
        <v>60</v>
      </c>
      <c r="C35" s="100">
        <f t="shared" si="0"/>
        <v>216</v>
      </c>
      <c r="D35" s="99">
        <f t="shared" si="1"/>
        <v>27</v>
      </c>
      <c r="E35" s="151">
        <v>12</v>
      </c>
      <c r="F35" s="97">
        <f t="shared" si="2"/>
        <v>39</v>
      </c>
      <c r="G35" s="96">
        <f t="shared" si="3"/>
        <v>4.875</v>
      </c>
      <c r="H35" s="145">
        <f t="shared" si="4"/>
        <v>5</v>
      </c>
      <c r="I35" s="94">
        <f t="shared" si="5"/>
        <v>4.5</v>
      </c>
      <c r="J35" s="94">
        <v>2</v>
      </c>
      <c r="K35" s="91">
        <f t="shared" si="6"/>
        <v>1293.8400000000001</v>
      </c>
      <c r="L35" s="93">
        <f t="shared" si="7"/>
        <v>812</v>
      </c>
      <c r="M35" s="93">
        <f t="shared" si="8"/>
        <v>2241</v>
      </c>
      <c r="N35" s="93">
        <f t="shared" si="9"/>
        <v>1245.27</v>
      </c>
      <c r="O35" s="92">
        <f t="shared" si="10"/>
        <v>5592.1100000000006</v>
      </c>
      <c r="P35" s="91">
        <f t="shared" si="11"/>
        <v>1221.2654022988522</v>
      </c>
      <c r="Q35" s="90">
        <f t="shared" si="12"/>
        <v>6813.3754022988524</v>
      </c>
      <c r="R35" s="144">
        <f t="shared" si="13"/>
        <v>1362.6750804597705</v>
      </c>
      <c r="S35" s="88"/>
    </row>
    <row r="36" spans="1:19" s="83" customFormat="1" ht="11.25" x14ac:dyDescent="0.25">
      <c r="A36" s="102">
        <v>2200</v>
      </c>
      <c r="B36" s="152">
        <v>60</v>
      </c>
      <c r="C36" s="100">
        <f t="shared" si="0"/>
        <v>226</v>
      </c>
      <c r="D36" s="99">
        <f t="shared" si="1"/>
        <v>28.25</v>
      </c>
      <c r="E36" s="151">
        <v>12</v>
      </c>
      <c r="F36" s="97">
        <f t="shared" si="2"/>
        <v>40.25</v>
      </c>
      <c r="G36" s="96">
        <f t="shared" si="3"/>
        <v>5.03125</v>
      </c>
      <c r="H36" s="145">
        <f t="shared" si="4"/>
        <v>6</v>
      </c>
      <c r="I36" s="94">
        <f t="shared" si="5"/>
        <v>5.5</v>
      </c>
      <c r="J36" s="94">
        <v>2</v>
      </c>
      <c r="K36" s="91">
        <f t="shared" si="6"/>
        <v>1353.74</v>
      </c>
      <c r="L36" s="93">
        <f t="shared" si="7"/>
        <v>974.40000000000009</v>
      </c>
      <c r="M36" s="93">
        <f t="shared" si="8"/>
        <v>2739</v>
      </c>
      <c r="N36" s="93">
        <f t="shared" si="9"/>
        <v>1309.1299999999999</v>
      </c>
      <c r="O36" s="92">
        <f t="shared" si="10"/>
        <v>6376.27</v>
      </c>
      <c r="P36" s="91">
        <f t="shared" si="11"/>
        <v>1392.5187356321858</v>
      </c>
      <c r="Q36" s="90">
        <f t="shared" si="12"/>
        <v>7768.7887356321862</v>
      </c>
      <c r="R36" s="144">
        <f t="shared" si="13"/>
        <v>1294.7981226053644</v>
      </c>
      <c r="S36" s="88"/>
    </row>
    <row r="37" spans="1:19" s="83" customFormat="1" ht="11.25" x14ac:dyDescent="0.25">
      <c r="A37" s="102">
        <v>2300</v>
      </c>
      <c r="B37" s="152">
        <v>60</v>
      </c>
      <c r="C37" s="100">
        <f t="shared" si="0"/>
        <v>236</v>
      </c>
      <c r="D37" s="99">
        <f t="shared" si="1"/>
        <v>29.5</v>
      </c>
      <c r="E37" s="151">
        <v>12</v>
      </c>
      <c r="F37" s="97">
        <f t="shared" si="2"/>
        <v>41.5</v>
      </c>
      <c r="G37" s="96">
        <f t="shared" si="3"/>
        <v>5.1875</v>
      </c>
      <c r="H37" s="145">
        <f t="shared" si="4"/>
        <v>6</v>
      </c>
      <c r="I37" s="94">
        <f t="shared" si="5"/>
        <v>5.5</v>
      </c>
      <c r="J37" s="94">
        <v>2</v>
      </c>
      <c r="K37" s="91">
        <f t="shared" si="6"/>
        <v>1413.64</v>
      </c>
      <c r="L37" s="93">
        <f t="shared" si="7"/>
        <v>974.40000000000009</v>
      </c>
      <c r="M37" s="93">
        <f t="shared" si="8"/>
        <v>2739</v>
      </c>
      <c r="N37" s="93">
        <f t="shared" si="9"/>
        <v>1341.06</v>
      </c>
      <c r="O37" s="92">
        <f t="shared" si="10"/>
        <v>6468.1</v>
      </c>
      <c r="P37" s="91">
        <f t="shared" si="11"/>
        <v>1412.5735632183928</v>
      </c>
      <c r="Q37" s="90">
        <f t="shared" si="12"/>
        <v>7880.6735632183936</v>
      </c>
      <c r="R37" s="144">
        <f t="shared" si="13"/>
        <v>1313.4455938697322</v>
      </c>
      <c r="S37" s="88"/>
    </row>
    <row r="38" spans="1:19" s="83" customFormat="1" ht="11.25" x14ac:dyDescent="0.25">
      <c r="A38" s="102">
        <v>2400</v>
      </c>
      <c r="B38" s="152">
        <v>60</v>
      </c>
      <c r="C38" s="100">
        <f t="shared" si="0"/>
        <v>246</v>
      </c>
      <c r="D38" s="99">
        <f t="shared" si="1"/>
        <v>30.75</v>
      </c>
      <c r="E38" s="151">
        <v>12</v>
      </c>
      <c r="F38" s="97">
        <f t="shared" si="2"/>
        <v>42.75</v>
      </c>
      <c r="G38" s="96">
        <f t="shared" si="3"/>
        <v>5.34375</v>
      </c>
      <c r="H38" s="145">
        <f t="shared" si="4"/>
        <v>6</v>
      </c>
      <c r="I38" s="94">
        <f t="shared" si="5"/>
        <v>5.5</v>
      </c>
      <c r="J38" s="94">
        <v>2</v>
      </c>
      <c r="K38" s="91">
        <f t="shared" si="6"/>
        <v>1473.54</v>
      </c>
      <c r="L38" s="93">
        <f t="shared" si="7"/>
        <v>974.40000000000009</v>
      </c>
      <c r="M38" s="93">
        <f t="shared" si="8"/>
        <v>2739</v>
      </c>
      <c r="N38" s="93">
        <f t="shared" si="9"/>
        <v>1372.99</v>
      </c>
      <c r="O38" s="92">
        <f t="shared" si="10"/>
        <v>6559.93</v>
      </c>
      <c r="P38" s="91">
        <f t="shared" si="11"/>
        <v>1432.6283908045996</v>
      </c>
      <c r="Q38" s="90">
        <f t="shared" si="12"/>
        <v>7992.5583908046001</v>
      </c>
      <c r="R38" s="144">
        <f t="shared" si="13"/>
        <v>1332.0930651341</v>
      </c>
      <c r="S38" s="88"/>
    </row>
    <row r="39" spans="1:19" s="83" customFormat="1" ht="11.25" x14ac:dyDescent="0.25">
      <c r="A39" s="102">
        <v>2500</v>
      </c>
      <c r="B39" s="152">
        <v>60</v>
      </c>
      <c r="C39" s="100">
        <f t="shared" si="0"/>
        <v>256</v>
      </c>
      <c r="D39" s="99">
        <f t="shared" si="1"/>
        <v>32</v>
      </c>
      <c r="E39" s="151">
        <v>12</v>
      </c>
      <c r="F39" s="97">
        <f t="shared" si="2"/>
        <v>44</v>
      </c>
      <c r="G39" s="96">
        <f t="shared" si="3"/>
        <v>5.5</v>
      </c>
      <c r="H39" s="145">
        <f t="shared" si="4"/>
        <v>6</v>
      </c>
      <c r="I39" s="94">
        <f t="shared" si="5"/>
        <v>5.5</v>
      </c>
      <c r="J39" s="94">
        <v>2</v>
      </c>
      <c r="K39" s="91">
        <f t="shared" si="6"/>
        <v>1533.44</v>
      </c>
      <c r="L39" s="93">
        <f t="shared" si="7"/>
        <v>974.40000000000009</v>
      </c>
      <c r="M39" s="93">
        <f t="shared" si="8"/>
        <v>2739</v>
      </c>
      <c r="N39" s="93">
        <f t="shared" si="9"/>
        <v>1404.92</v>
      </c>
      <c r="O39" s="92">
        <f t="shared" si="10"/>
        <v>6651.76</v>
      </c>
      <c r="P39" s="91">
        <f t="shared" si="11"/>
        <v>1452.6832183908066</v>
      </c>
      <c r="Q39" s="90">
        <f t="shared" si="12"/>
        <v>8104.4432183908066</v>
      </c>
      <c r="R39" s="144">
        <f t="shared" si="13"/>
        <v>1350.7405363984678</v>
      </c>
      <c r="S39" s="88"/>
    </row>
    <row r="40" spans="1:19" s="83" customFormat="1" ht="11.25" x14ac:dyDescent="0.25">
      <c r="A40" s="102">
        <v>2600</v>
      </c>
      <c r="B40" s="152">
        <v>60</v>
      </c>
      <c r="C40" s="100">
        <f t="shared" si="0"/>
        <v>266</v>
      </c>
      <c r="D40" s="99">
        <f t="shared" si="1"/>
        <v>33.25</v>
      </c>
      <c r="E40" s="151">
        <v>12</v>
      </c>
      <c r="F40" s="97">
        <f t="shared" si="2"/>
        <v>45.25</v>
      </c>
      <c r="G40" s="96">
        <f t="shared" si="3"/>
        <v>5.65625</v>
      </c>
      <c r="H40" s="145">
        <f t="shared" si="4"/>
        <v>6</v>
      </c>
      <c r="I40" s="94">
        <f t="shared" si="5"/>
        <v>5.5</v>
      </c>
      <c r="J40" s="94">
        <v>2</v>
      </c>
      <c r="K40" s="91">
        <f t="shared" si="6"/>
        <v>1593.3400000000001</v>
      </c>
      <c r="L40" s="93">
        <f t="shared" si="7"/>
        <v>974.40000000000009</v>
      </c>
      <c r="M40" s="93">
        <f t="shared" si="8"/>
        <v>2739</v>
      </c>
      <c r="N40" s="93">
        <f t="shared" si="9"/>
        <v>1468.78</v>
      </c>
      <c r="O40" s="92">
        <f t="shared" si="10"/>
        <v>6775.5199999999995</v>
      </c>
      <c r="P40" s="91">
        <f t="shared" si="11"/>
        <v>1479.7112643678179</v>
      </c>
      <c r="Q40" s="90">
        <f t="shared" si="12"/>
        <v>8255.2312643678179</v>
      </c>
      <c r="R40" s="144">
        <f t="shared" si="13"/>
        <v>1375.8718773946364</v>
      </c>
      <c r="S40" s="88"/>
    </row>
    <row r="41" spans="1:19" s="83" customFormat="1" ht="11.25" x14ac:dyDescent="0.25">
      <c r="A41" s="102">
        <v>2700</v>
      </c>
      <c r="B41" s="152">
        <v>60</v>
      </c>
      <c r="C41" s="100">
        <f t="shared" si="0"/>
        <v>276</v>
      </c>
      <c r="D41" s="99">
        <f t="shared" si="1"/>
        <v>34.5</v>
      </c>
      <c r="E41" s="151">
        <v>12</v>
      </c>
      <c r="F41" s="97">
        <f t="shared" si="2"/>
        <v>46.5</v>
      </c>
      <c r="G41" s="96">
        <f t="shared" si="3"/>
        <v>5.8125</v>
      </c>
      <c r="H41" s="145">
        <f t="shared" si="4"/>
        <v>6</v>
      </c>
      <c r="I41" s="94">
        <f t="shared" si="5"/>
        <v>5.5</v>
      </c>
      <c r="J41" s="94">
        <v>2</v>
      </c>
      <c r="K41" s="91">
        <f t="shared" si="6"/>
        <v>1653.24</v>
      </c>
      <c r="L41" s="93">
        <f t="shared" si="7"/>
        <v>974.40000000000009</v>
      </c>
      <c r="M41" s="93">
        <f t="shared" si="8"/>
        <v>2739</v>
      </c>
      <c r="N41" s="93">
        <f t="shared" si="9"/>
        <v>1500.71</v>
      </c>
      <c r="O41" s="92">
        <f t="shared" si="10"/>
        <v>6867.35</v>
      </c>
      <c r="P41" s="91">
        <f t="shared" si="11"/>
        <v>1499.7660919540251</v>
      </c>
      <c r="Q41" s="90">
        <f t="shared" si="12"/>
        <v>8367.1160919540253</v>
      </c>
      <c r="R41" s="144">
        <f t="shared" si="13"/>
        <v>1394.5193486590042</v>
      </c>
      <c r="S41" s="88"/>
    </row>
    <row r="42" spans="1:19" s="83" customFormat="1" ht="11.25" x14ac:dyDescent="0.25">
      <c r="A42" s="102">
        <v>2800</v>
      </c>
      <c r="B42" s="152">
        <v>60</v>
      </c>
      <c r="C42" s="100">
        <f t="shared" si="0"/>
        <v>286</v>
      </c>
      <c r="D42" s="99">
        <f t="shared" si="1"/>
        <v>35.75</v>
      </c>
      <c r="E42" s="151">
        <v>12</v>
      </c>
      <c r="F42" s="97">
        <f t="shared" si="2"/>
        <v>47.75</v>
      </c>
      <c r="G42" s="96">
        <f t="shared" si="3"/>
        <v>5.96875</v>
      </c>
      <c r="H42" s="145">
        <f t="shared" si="4"/>
        <v>6</v>
      </c>
      <c r="I42" s="94">
        <f t="shared" si="5"/>
        <v>5.5</v>
      </c>
      <c r="J42" s="94">
        <v>2</v>
      </c>
      <c r="K42" s="91">
        <f t="shared" si="6"/>
        <v>1713.14</v>
      </c>
      <c r="L42" s="93">
        <f t="shared" si="7"/>
        <v>974.40000000000009</v>
      </c>
      <c r="M42" s="93">
        <f t="shared" si="8"/>
        <v>2739</v>
      </c>
      <c r="N42" s="93">
        <f t="shared" si="9"/>
        <v>1532.6399999999999</v>
      </c>
      <c r="O42" s="92">
        <f t="shared" si="10"/>
        <v>6959.18</v>
      </c>
      <c r="P42" s="91">
        <f t="shared" si="11"/>
        <v>1519.8209195402319</v>
      </c>
      <c r="Q42" s="90">
        <f t="shared" si="12"/>
        <v>8479.0009195402326</v>
      </c>
      <c r="R42" s="144">
        <f t="shared" si="13"/>
        <v>1413.166819923372</v>
      </c>
      <c r="S42" s="88"/>
    </row>
    <row r="43" spans="1:19" s="80" customFormat="1" ht="11.25" x14ac:dyDescent="0.2">
      <c r="D43" s="87"/>
      <c r="E43" s="86"/>
      <c r="F43" s="85"/>
      <c r="G43" s="84"/>
      <c r="H43" s="84"/>
      <c r="I43" s="84"/>
      <c r="J43" s="84"/>
      <c r="K43" s="84"/>
      <c r="P43" s="83"/>
      <c r="Q43" s="82"/>
      <c r="R43" s="143"/>
    </row>
    <row r="44" spans="1:19" x14ac:dyDescent="0.2">
      <c r="Q44" s="79" t="s">
        <v>168</v>
      </c>
      <c r="R44" s="78">
        <f>AVERAGE(R16:R42)</f>
        <v>1250.5039385554139</v>
      </c>
    </row>
    <row r="49" spans="18:18" s="76" customFormat="1" ht="11.25" x14ac:dyDescent="0.2">
      <c r="R49" s="142"/>
    </row>
    <row r="50" spans="18:18" s="76" customFormat="1" ht="11.25" x14ac:dyDescent="0.2">
      <c r="R50" s="142"/>
    </row>
    <row r="51" spans="18:18" s="76" customFormat="1" ht="11.25" x14ac:dyDescent="0.2">
      <c r="R51" s="142"/>
    </row>
    <row r="52" spans="18:18" s="76" customFormat="1" ht="11.25" x14ac:dyDescent="0.2">
      <c r="R52" s="142"/>
    </row>
    <row r="53" spans="18:18" s="76" customFormat="1" ht="11.25" x14ac:dyDescent="0.2">
      <c r="R53" s="142"/>
    </row>
    <row r="54" spans="18:18" s="76" customFormat="1" ht="11.25" x14ac:dyDescent="0.2">
      <c r="R54" s="142"/>
    </row>
    <row r="56" spans="18:18" s="76" customFormat="1" ht="11.25" x14ac:dyDescent="0.2">
      <c r="R56" s="142"/>
    </row>
  </sheetData>
  <mergeCells count="2">
    <mergeCell ref="A12:E12"/>
    <mergeCell ref="A3:F3"/>
  </mergeCells>
  <pageMargins left="0.78740157480314965" right="0.78740157480314965" top="0.98425196850393704" bottom="0.98425196850393704" header="0.51181102362204722" footer="0.51181102362204722"/>
  <pageSetup paperSize="9" scale="52" firstPageNumber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2"/>
  <sheetViews>
    <sheetView zoomScaleNormal="100" workbookViewId="0">
      <selection activeCell="F11" sqref="F11"/>
    </sheetView>
  </sheetViews>
  <sheetFormatPr defaultColWidth="7.42578125" defaultRowHeight="12.75" x14ac:dyDescent="0.2"/>
  <cols>
    <col min="1" max="3" width="13.5703125" style="76" customWidth="1"/>
    <col min="4" max="4" width="13.5703125" style="141" customWidth="1"/>
    <col min="5" max="5" width="13.5703125" style="140" customWidth="1"/>
    <col min="6" max="6" width="13.5703125" style="139" customWidth="1"/>
    <col min="7" max="11" width="13.5703125" style="138" customWidth="1"/>
    <col min="12" max="15" width="13.5703125" style="76" customWidth="1"/>
    <col min="16" max="16" width="13.5703125" style="130" customWidth="1"/>
    <col min="17" max="17" width="13.5703125" style="134" customWidth="1"/>
    <col min="18" max="18" width="13.5703125" style="137" customWidth="1"/>
    <col min="19" max="1025" width="7.42578125" style="76"/>
    <col min="1026" max="16384" width="7.42578125" style="75"/>
  </cols>
  <sheetData>
    <row r="1" spans="1:19" x14ac:dyDescent="0.2">
      <c r="A1" s="136" t="s">
        <v>203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50"/>
    </row>
    <row r="2" spans="1:19" x14ac:dyDescent="0.2">
      <c r="A2" s="135" t="s">
        <v>212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50"/>
    </row>
    <row r="3" spans="1:19" x14ac:dyDescent="0.2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</row>
    <row r="4" spans="1:19" s="128" customFormat="1" ht="11.25" x14ac:dyDescent="0.25">
      <c r="A4" s="133" t="s">
        <v>201</v>
      </c>
      <c r="B4" s="132"/>
      <c r="C4" s="132"/>
      <c r="D4" s="132"/>
      <c r="E4" s="132"/>
      <c r="F4" s="132"/>
      <c r="G4" s="131"/>
      <c r="H4" s="131"/>
      <c r="I4" s="131"/>
      <c r="J4" s="131"/>
      <c r="K4" s="131"/>
      <c r="P4" s="130"/>
      <c r="Q4" s="130"/>
      <c r="R4" s="149"/>
    </row>
    <row r="5" spans="1:19" x14ac:dyDescent="0.2">
      <c r="A5" s="125" t="s">
        <v>200</v>
      </c>
      <c r="B5" s="124"/>
      <c r="C5" s="124"/>
      <c r="D5" s="124"/>
      <c r="E5" s="123"/>
      <c r="F5" s="121">
        <v>65</v>
      </c>
    </row>
    <row r="6" spans="1:19" x14ac:dyDescent="0.2">
      <c r="A6" s="125" t="s">
        <v>199</v>
      </c>
      <c r="B6" s="124"/>
      <c r="C6" s="124"/>
      <c r="D6" s="124"/>
      <c r="E6" s="123"/>
      <c r="F6" s="121">
        <v>4</v>
      </c>
    </row>
    <row r="7" spans="1:19" x14ac:dyDescent="0.2">
      <c r="A7" s="125" t="s">
        <v>198</v>
      </c>
      <c r="B7" s="124"/>
      <c r="C7" s="124"/>
      <c r="D7" s="124"/>
      <c r="E7" s="123"/>
      <c r="F7" s="121">
        <v>162.4</v>
      </c>
    </row>
    <row r="8" spans="1:19" x14ac:dyDescent="0.2">
      <c r="A8" s="125" t="s">
        <v>197</v>
      </c>
      <c r="B8" s="124"/>
      <c r="C8" s="124"/>
      <c r="D8" s="124"/>
      <c r="E8" s="123"/>
      <c r="F8" s="127" t="s">
        <v>196</v>
      </c>
    </row>
    <row r="9" spans="1:19" x14ac:dyDescent="0.2">
      <c r="A9" s="125" t="s">
        <v>195</v>
      </c>
      <c r="B9" s="124"/>
      <c r="C9" s="124"/>
      <c r="D9" s="124"/>
      <c r="E9" s="123"/>
      <c r="F9" s="126">
        <v>5.99</v>
      </c>
    </row>
    <row r="10" spans="1:19" x14ac:dyDescent="0.2">
      <c r="A10" s="125" t="s">
        <v>194</v>
      </c>
      <c r="B10" s="124"/>
      <c r="C10" s="124"/>
      <c r="D10" s="124"/>
      <c r="E10" s="123"/>
      <c r="F10" s="121">
        <v>10</v>
      </c>
    </row>
    <row r="11" spans="1:19" x14ac:dyDescent="0.2">
      <c r="A11" s="125" t="s">
        <v>193</v>
      </c>
      <c r="B11" s="124"/>
      <c r="C11" s="124"/>
      <c r="D11" s="124"/>
      <c r="E11" s="123"/>
      <c r="F11" s="122">
        <v>249</v>
      </c>
    </row>
    <row r="12" spans="1:19" s="128" customFormat="1" ht="11.25" x14ac:dyDescent="0.2">
      <c r="A12" s="192" t="s">
        <v>223</v>
      </c>
      <c r="B12" s="193"/>
      <c r="C12" s="193"/>
      <c r="D12" s="193"/>
      <c r="E12" s="194"/>
      <c r="F12" s="121">
        <v>31.93</v>
      </c>
      <c r="G12" s="131"/>
      <c r="H12" s="131"/>
      <c r="I12" s="131"/>
      <c r="J12" s="131"/>
      <c r="K12" s="131"/>
      <c r="P12" s="130"/>
      <c r="Q12" s="130"/>
      <c r="R12" s="149"/>
    </row>
    <row r="14" spans="1:19" s="83" customFormat="1" ht="90" x14ac:dyDescent="0.25">
      <c r="A14" s="111" t="s">
        <v>192</v>
      </c>
      <c r="B14" s="155" t="s">
        <v>207</v>
      </c>
      <c r="C14" s="111" t="s">
        <v>190</v>
      </c>
      <c r="D14" s="117" t="s">
        <v>206</v>
      </c>
      <c r="E14" s="154" t="s">
        <v>211</v>
      </c>
      <c r="F14" s="115" t="s">
        <v>187</v>
      </c>
      <c r="G14" s="114" t="s">
        <v>186</v>
      </c>
      <c r="H14" s="114" t="s">
        <v>185</v>
      </c>
      <c r="I14" s="114" t="s">
        <v>184</v>
      </c>
      <c r="J14" s="114" t="s">
        <v>183</v>
      </c>
      <c r="K14" s="111" t="s">
        <v>182</v>
      </c>
      <c r="L14" s="111" t="s">
        <v>181</v>
      </c>
      <c r="M14" s="113" t="s">
        <v>180</v>
      </c>
      <c r="N14" s="111" t="s">
        <v>179</v>
      </c>
      <c r="O14" s="111" t="s">
        <v>178</v>
      </c>
      <c r="P14" s="112" t="s">
        <v>177</v>
      </c>
      <c r="Q14" s="111" t="s">
        <v>204</v>
      </c>
      <c r="R14" s="146" t="s">
        <v>175</v>
      </c>
    </row>
    <row r="15" spans="1:19" s="104" customFormat="1" ht="11.25" x14ac:dyDescent="0.25">
      <c r="A15" s="105" t="s">
        <v>174</v>
      </c>
      <c r="B15" s="105" t="s">
        <v>174</v>
      </c>
      <c r="C15" s="105" t="s">
        <v>173</v>
      </c>
      <c r="D15" s="107" t="s">
        <v>172</v>
      </c>
      <c r="E15" s="109" t="s">
        <v>172</v>
      </c>
      <c r="F15" s="108" t="s">
        <v>172</v>
      </c>
      <c r="G15" s="107" t="s">
        <v>171</v>
      </c>
      <c r="H15" s="107" t="s">
        <v>170</v>
      </c>
      <c r="I15" s="105" t="s">
        <v>170</v>
      </c>
      <c r="J15" s="105" t="s">
        <v>170</v>
      </c>
      <c r="K15" s="105" t="s">
        <v>169</v>
      </c>
      <c r="L15" s="105" t="s">
        <v>169</v>
      </c>
      <c r="M15" s="105" t="s">
        <v>169</v>
      </c>
      <c r="N15" s="105" t="s">
        <v>169</v>
      </c>
      <c r="O15" s="105" t="s">
        <v>169</v>
      </c>
      <c r="P15" s="106">
        <f>engcivarq!C146</f>
        <v>0.21839080459770144</v>
      </c>
      <c r="Q15" s="105" t="s">
        <v>169</v>
      </c>
      <c r="R15" s="153" t="s">
        <v>169</v>
      </c>
    </row>
    <row r="16" spans="1:19" s="83" customFormat="1" ht="11.25" x14ac:dyDescent="0.25">
      <c r="A16" s="102">
        <v>300</v>
      </c>
      <c r="B16" s="152">
        <v>80</v>
      </c>
      <c r="C16" s="100">
        <f t="shared" ref="C16:C38" si="0">((A16+B16)/10)</f>
        <v>38</v>
      </c>
      <c r="D16" s="99">
        <f t="shared" ref="D16:D38" si="1">((A16+B16)/80)</f>
        <v>4.75</v>
      </c>
      <c r="E16" s="151">
        <v>16</v>
      </c>
      <c r="F16" s="97">
        <f t="shared" ref="F16:F38" si="2">D16+E16</f>
        <v>20.75</v>
      </c>
      <c r="G16" s="96">
        <f t="shared" ref="G16:G38" si="3">F16/8</f>
        <v>2.59375</v>
      </c>
      <c r="H16" s="145">
        <f t="shared" ref="H16:H38" si="4">ROUNDUP(G16,0)</f>
        <v>3</v>
      </c>
      <c r="I16" s="94">
        <f t="shared" ref="I16:I38" si="5">H16-0.5</f>
        <v>2.5</v>
      </c>
      <c r="J16" s="94">
        <v>2</v>
      </c>
      <c r="K16" s="91">
        <f t="shared" ref="K16:K38" si="6">C16*$F$9</f>
        <v>227.62</v>
      </c>
      <c r="L16" s="92">
        <f t="shared" ref="L16:L38" si="7">H16*$F$7</f>
        <v>487.20000000000005</v>
      </c>
      <c r="M16" s="93">
        <f t="shared" ref="M16:M38" si="8">(I16*$F$11)*J16</f>
        <v>1245</v>
      </c>
      <c r="N16" s="93">
        <f t="shared" ref="N16:N38" si="9">+(ROUNDUP(F16,0))*$F$12</f>
        <v>670.53</v>
      </c>
      <c r="O16" s="92">
        <f t="shared" ref="O16:O38" si="10">K16+L16+M16+N16</f>
        <v>2630.3500000000004</v>
      </c>
      <c r="P16" s="91">
        <f t="shared" ref="P16:P38" si="11">O16*$P$15</f>
        <v>574.4442528735641</v>
      </c>
      <c r="Q16" s="90">
        <f t="shared" ref="Q16:Q38" si="12">O16+P16</f>
        <v>3204.7942528735643</v>
      </c>
      <c r="R16" s="144">
        <f t="shared" ref="R16:R38" si="13">Q16/H16</f>
        <v>1068.2647509578549</v>
      </c>
      <c r="S16" s="103"/>
    </row>
    <row r="17" spans="1:19" s="83" customFormat="1" ht="11.25" x14ac:dyDescent="0.25">
      <c r="A17" s="102">
        <v>400</v>
      </c>
      <c r="B17" s="152">
        <v>80</v>
      </c>
      <c r="C17" s="100">
        <f t="shared" si="0"/>
        <v>48</v>
      </c>
      <c r="D17" s="99">
        <f t="shared" si="1"/>
        <v>6</v>
      </c>
      <c r="E17" s="151">
        <v>16</v>
      </c>
      <c r="F17" s="97">
        <f t="shared" si="2"/>
        <v>22</v>
      </c>
      <c r="G17" s="96">
        <f t="shared" si="3"/>
        <v>2.75</v>
      </c>
      <c r="H17" s="145">
        <f t="shared" si="4"/>
        <v>3</v>
      </c>
      <c r="I17" s="94">
        <f t="shared" si="5"/>
        <v>2.5</v>
      </c>
      <c r="J17" s="94">
        <v>2</v>
      </c>
      <c r="K17" s="91">
        <f t="shared" si="6"/>
        <v>287.52</v>
      </c>
      <c r="L17" s="92">
        <f t="shared" si="7"/>
        <v>487.20000000000005</v>
      </c>
      <c r="M17" s="93">
        <f t="shared" si="8"/>
        <v>1245</v>
      </c>
      <c r="N17" s="93">
        <f t="shared" si="9"/>
        <v>702.46</v>
      </c>
      <c r="O17" s="92">
        <f t="shared" si="10"/>
        <v>2722.1800000000003</v>
      </c>
      <c r="P17" s="91">
        <f t="shared" si="11"/>
        <v>594.49908045977099</v>
      </c>
      <c r="Q17" s="90">
        <f t="shared" si="12"/>
        <v>3316.6790804597713</v>
      </c>
      <c r="R17" s="144">
        <f t="shared" si="13"/>
        <v>1105.5596934865905</v>
      </c>
      <c r="S17" s="88"/>
    </row>
    <row r="18" spans="1:19" s="83" customFormat="1" ht="11.25" x14ac:dyDescent="0.25">
      <c r="A18" s="102">
        <v>500</v>
      </c>
      <c r="B18" s="152">
        <v>80</v>
      </c>
      <c r="C18" s="100">
        <f t="shared" si="0"/>
        <v>58</v>
      </c>
      <c r="D18" s="99">
        <f t="shared" si="1"/>
        <v>7.25</v>
      </c>
      <c r="E18" s="151">
        <v>16</v>
      </c>
      <c r="F18" s="97">
        <f t="shared" si="2"/>
        <v>23.25</v>
      </c>
      <c r="G18" s="96">
        <f t="shared" si="3"/>
        <v>2.90625</v>
      </c>
      <c r="H18" s="145">
        <f t="shared" si="4"/>
        <v>3</v>
      </c>
      <c r="I18" s="94">
        <f t="shared" si="5"/>
        <v>2.5</v>
      </c>
      <c r="J18" s="94">
        <v>2</v>
      </c>
      <c r="K18" s="91">
        <f t="shared" si="6"/>
        <v>347.42</v>
      </c>
      <c r="L18" s="92">
        <f t="shared" si="7"/>
        <v>487.20000000000005</v>
      </c>
      <c r="M18" s="93">
        <f t="shared" si="8"/>
        <v>1245</v>
      </c>
      <c r="N18" s="93">
        <f t="shared" si="9"/>
        <v>766.31999999999994</v>
      </c>
      <c r="O18" s="92">
        <f t="shared" si="10"/>
        <v>2845.9399999999996</v>
      </c>
      <c r="P18" s="91">
        <f t="shared" si="11"/>
        <v>621.5271264367824</v>
      </c>
      <c r="Q18" s="90">
        <f t="shared" si="12"/>
        <v>3467.4671264367821</v>
      </c>
      <c r="R18" s="144">
        <f t="shared" si="13"/>
        <v>1155.8223754789274</v>
      </c>
      <c r="S18" s="88"/>
    </row>
    <row r="19" spans="1:19" s="83" customFormat="1" ht="11.25" x14ac:dyDescent="0.25">
      <c r="A19" s="102">
        <v>600</v>
      </c>
      <c r="B19" s="152">
        <v>80</v>
      </c>
      <c r="C19" s="100">
        <f t="shared" si="0"/>
        <v>68</v>
      </c>
      <c r="D19" s="99">
        <f t="shared" si="1"/>
        <v>8.5</v>
      </c>
      <c r="E19" s="151">
        <v>16</v>
      </c>
      <c r="F19" s="97">
        <f t="shared" si="2"/>
        <v>24.5</v>
      </c>
      <c r="G19" s="96">
        <f t="shared" si="3"/>
        <v>3.0625</v>
      </c>
      <c r="H19" s="145">
        <f t="shared" si="4"/>
        <v>4</v>
      </c>
      <c r="I19" s="94">
        <f t="shared" si="5"/>
        <v>3.5</v>
      </c>
      <c r="J19" s="94">
        <v>2</v>
      </c>
      <c r="K19" s="91">
        <f t="shared" si="6"/>
        <v>407.32</v>
      </c>
      <c r="L19" s="92">
        <f t="shared" si="7"/>
        <v>649.6</v>
      </c>
      <c r="M19" s="93">
        <f t="shared" si="8"/>
        <v>1743</v>
      </c>
      <c r="N19" s="93">
        <f t="shared" si="9"/>
        <v>798.25</v>
      </c>
      <c r="O19" s="92">
        <f t="shared" si="10"/>
        <v>3598.17</v>
      </c>
      <c r="P19" s="91">
        <f t="shared" si="11"/>
        <v>785.80724137931145</v>
      </c>
      <c r="Q19" s="90">
        <f t="shared" si="12"/>
        <v>4383.9772413793116</v>
      </c>
      <c r="R19" s="144">
        <f t="shared" si="13"/>
        <v>1095.9943103448279</v>
      </c>
      <c r="S19" s="88"/>
    </row>
    <row r="20" spans="1:19" s="83" customFormat="1" ht="11.25" x14ac:dyDescent="0.25">
      <c r="A20" s="102">
        <v>700</v>
      </c>
      <c r="B20" s="152">
        <v>80</v>
      </c>
      <c r="C20" s="100">
        <f t="shared" si="0"/>
        <v>78</v>
      </c>
      <c r="D20" s="99">
        <f t="shared" si="1"/>
        <v>9.75</v>
      </c>
      <c r="E20" s="151">
        <v>16</v>
      </c>
      <c r="F20" s="97">
        <f t="shared" si="2"/>
        <v>25.75</v>
      </c>
      <c r="G20" s="96">
        <f t="shared" si="3"/>
        <v>3.21875</v>
      </c>
      <c r="H20" s="145">
        <f t="shared" si="4"/>
        <v>4</v>
      </c>
      <c r="I20" s="94">
        <f t="shared" si="5"/>
        <v>3.5</v>
      </c>
      <c r="J20" s="94">
        <v>2</v>
      </c>
      <c r="K20" s="91">
        <f t="shared" si="6"/>
        <v>467.22</v>
      </c>
      <c r="L20" s="92">
        <f t="shared" si="7"/>
        <v>649.6</v>
      </c>
      <c r="M20" s="93">
        <f t="shared" si="8"/>
        <v>1743</v>
      </c>
      <c r="N20" s="93">
        <f t="shared" si="9"/>
        <v>830.18</v>
      </c>
      <c r="O20" s="92">
        <f t="shared" si="10"/>
        <v>3690</v>
      </c>
      <c r="P20" s="91">
        <f t="shared" si="11"/>
        <v>805.86206896551835</v>
      </c>
      <c r="Q20" s="90">
        <f t="shared" si="12"/>
        <v>4495.8620689655181</v>
      </c>
      <c r="R20" s="144">
        <f t="shared" si="13"/>
        <v>1123.9655172413795</v>
      </c>
      <c r="S20" s="88"/>
    </row>
    <row r="21" spans="1:19" s="83" customFormat="1" ht="11.25" x14ac:dyDescent="0.25">
      <c r="A21" s="102">
        <v>800</v>
      </c>
      <c r="B21" s="152">
        <v>80</v>
      </c>
      <c r="C21" s="100">
        <f t="shared" si="0"/>
        <v>88</v>
      </c>
      <c r="D21" s="99">
        <f t="shared" si="1"/>
        <v>11</v>
      </c>
      <c r="E21" s="151">
        <v>16</v>
      </c>
      <c r="F21" s="97">
        <f t="shared" si="2"/>
        <v>27</v>
      </c>
      <c r="G21" s="96">
        <f t="shared" si="3"/>
        <v>3.375</v>
      </c>
      <c r="H21" s="145">
        <f t="shared" si="4"/>
        <v>4</v>
      </c>
      <c r="I21" s="94">
        <f t="shared" si="5"/>
        <v>3.5</v>
      </c>
      <c r="J21" s="94">
        <v>2</v>
      </c>
      <c r="K21" s="91">
        <f t="shared" si="6"/>
        <v>527.12</v>
      </c>
      <c r="L21" s="92">
        <f t="shared" si="7"/>
        <v>649.6</v>
      </c>
      <c r="M21" s="93">
        <f t="shared" si="8"/>
        <v>1743</v>
      </c>
      <c r="N21" s="93">
        <f t="shared" si="9"/>
        <v>862.11</v>
      </c>
      <c r="O21" s="92">
        <f t="shared" si="10"/>
        <v>3781.8300000000004</v>
      </c>
      <c r="P21" s="91">
        <f t="shared" si="11"/>
        <v>825.91689655172536</v>
      </c>
      <c r="Q21" s="90">
        <f t="shared" si="12"/>
        <v>4607.7468965517255</v>
      </c>
      <c r="R21" s="144">
        <f t="shared" si="13"/>
        <v>1151.9367241379314</v>
      </c>
      <c r="S21" s="88"/>
    </row>
    <row r="22" spans="1:19" s="83" customFormat="1" ht="11.25" x14ac:dyDescent="0.25">
      <c r="A22" s="102">
        <v>900</v>
      </c>
      <c r="B22" s="152">
        <v>80</v>
      </c>
      <c r="C22" s="100">
        <f t="shared" si="0"/>
        <v>98</v>
      </c>
      <c r="D22" s="99">
        <f t="shared" si="1"/>
        <v>12.25</v>
      </c>
      <c r="E22" s="151">
        <v>16</v>
      </c>
      <c r="F22" s="97">
        <f t="shared" si="2"/>
        <v>28.25</v>
      </c>
      <c r="G22" s="96">
        <f t="shared" si="3"/>
        <v>3.53125</v>
      </c>
      <c r="H22" s="145">
        <f t="shared" si="4"/>
        <v>4</v>
      </c>
      <c r="I22" s="94">
        <f t="shared" si="5"/>
        <v>3.5</v>
      </c>
      <c r="J22" s="94">
        <v>2</v>
      </c>
      <c r="K22" s="91">
        <f t="shared" si="6"/>
        <v>587.02</v>
      </c>
      <c r="L22" s="92">
        <f t="shared" si="7"/>
        <v>649.6</v>
      </c>
      <c r="M22" s="93">
        <f t="shared" si="8"/>
        <v>1743</v>
      </c>
      <c r="N22" s="93">
        <f t="shared" si="9"/>
        <v>925.97</v>
      </c>
      <c r="O22" s="92">
        <f t="shared" si="10"/>
        <v>3905.59</v>
      </c>
      <c r="P22" s="91">
        <f t="shared" si="11"/>
        <v>852.94494252873676</v>
      </c>
      <c r="Q22" s="90">
        <f t="shared" si="12"/>
        <v>4758.5349425287368</v>
      </c>
      <c r="R22" s="144">
        <f t="shared" si="13"/>
        <v>1189.6337356321842</v>
      </c>
      <c r="S22" s="88"/>
    </row>
    <row r="23" spans="1:19" s="83" customFormat="1" ht="11.25" x14ac:dyDescent="0.25">
      <c r="A23" s="102">
        <v>1000</v>
      </c>
      <c r="B23" s="152">
        <v>80</v>
      </c>
      <c r="C23" s="100">
        <f t="shared" si="0"/>
        <v>108</v>
      </c>
      <c r="D23" s="99">
        <f t="shared" si="1"/>
        <v>13.5</v>
      </c>
      <c r="E23" s="151">
        <v>16</v>
      </c>
      <c r="F23" s="97">
        <f t="shared" si="2"/>
        <v>29.5</v>
      </c>
      <c r="G23" s="96">
        <f t="shared" si="3"/>
        <v>3.6875</v>
      </c>
      <c r="H23" s="145">
        <f t="shared" si="4"/>
        <v>4</v>
      </c>
      <c r="I23" s="94">
        <f t="shared" si="5"/>
        <v>3.5</v>
      </c>
      <c r="J23" s="94">
        <v>2</v>
      </c>
      <c r="K23" s="91">
        <f t="shared" si="6"/>
        <v>646.92000000000007</v>
      </c>
      <c r="L23" s="92">
        <f t="shared" si="7"/>
        <v>649.6</v>
      </c>
      <c r="M23" s="93">
        <f t="shared" si="8"/>
        <v>1743</v>
      </c>
      <c r="N23" s="93">
        <f t="shared" si="9"/>
        <v>957.9</v>
      </c>
      <c r="O23" s="92">
        <f t="shared" si="10"/>
        <v>3997.42</v>
      </c>
      <c r="P23" s="91">
        <f t="shared" si="11"/>
        <v>872.99977011494366</v>
      </c>
      <c r="Q23" s="90">
        <f t="shared" si="12"/>
        <v>4870.4197701149442</v>
      </c>
      <c r="R23" s="144">
        <f t="shared" si="13"/>
        <v>1217.604942528736</v>
      </c>
      <c r="S23" s="88"/>
    </row>
    <row r="24" spans="1:19" s="83" customFormat="1" ht="11.25" x14ac:dyDescent="0.25">
      <c r="A24" s="102">
        <v>1100</v>
      </c>
      <c r="B24" s="152">
        <v>80</v>
      </c>
      <c r="C24" s="100">
        <f t="shared" si="0"/>
        <v>118</v>
      </c>
      <c r="D24" s="99">
        <f t="shared" si="1"/>
        <v>14.75</v>
      </c>
      <c r="E24" s="151">
        <v>16</v>
      </c>
      <c r="F24" s="97">
        <f t="shared" si="2"/>
        <v>30.75</v>
      </c>
      <c r="G24" s="96">
        <f t="shared" si="3"/>
        <v>3.84375</v>
      </c>
      <c r="H24" s="145">
        <f t="shared" si="4"/>
        <v>4</v>
      </c>
      <c r="I24" s="94">
        <f t="shared" si="5"/>
        <v>3.5</v>
      </c>
      <c r="J24" s="94">
        <v>2</v>
      </c>
      <c r="K24" s="91">
        <f t="shared" si="6"/>
        <v>706.82</v>
      </c>
      <c r="L24" s="92">
        <f t="shared" si="7"/>
        <v>649.6</v>
      </c>
      <c r="M24" s="93">
        <f t="shared" si="8"/>
        <v>1743</v>
      </c>
      <c r="N24" s="93">
        <f t="shared" si="9"/>
        <v>989.83</v>
      </c>
      <c r="O24" s="92">
        <f t="shared" si="10"/>
        <v>4089.25</v>
      </c>
      <c r="P24" s="91">
        <f t="shared" si="11"/>
        <v>893.05459770115056</v>
      </c>
      <c r="Q24" s="90">
        <f t="shared" si="12"/>
        <v>4982.3045977011507</v>
      </c>
      <c r="R24" s="144">
        <f t="shared" si="13"/>
        <v>1245.5761494252877</v>
      </c>
      <c r="S24" s="88"/>
    </row>
    <row r="25" spans="1:19" s="83" customFormat="1" ht="11.25" x14ac:dyDescent="0.25">
      <c r="A25" s="102">
        <v>1200</v>
      </c>
      <c r="B25" s="152">
        <v>80</v>
      </c>
      <c r="C25" s="100">
        <f t="shared" si="0"/>
        <v>128</v>
      </c>
      <c r="D25" s="99">
        <f t="shared" si="1"/>
        <v>16</v>
      </c>
      <c r="E25" s="151">
        <v>16</v>
      </c>
      <c r="F25" s="97">
        <f t="shared" si="2"/>
        <v>32</v>
      </c>
      <c r="G25" s="96">
        <f t="shared" si="3"/>
        <v>4</v>
      </c>
      <c r="H25" s="145">
        <f t="shared" si="4"/>
        <v>4</v>
      </c>
      <c r="I25" s="94">
        <f t="shared" si="5"/>
        <v>3.5</v>
      </c>
      <c r="J25" s="94">
        <v>2</v>
      </c>
      <c r="K25" s="91">
        <f t="shared" si="6"/>
        <v>766.72</v>
      </c>
      <c r="L25" s="92">
        <f t="shared" si="7"/>
        <v>649.6</v>
      </c>
      <c r="M25" s="93">
        <f t="shared" si="8"/>
        <v>1743</v>
      </c>
      <c r="N25" s="93">
        <f t="shared" si="9"/>
        <v>1021.76</v>
      </c>
      <c r="O25" s="92">
        <f t="shared" si="10"/>
        <v>4181.08</v>
      </c>
      <c r="P25" s="91">
        <f t="shared" si="11"/>
        <v>913.10942528735757</v>
      </c>
      <c r="Q25" s="90">
        <f t="shared" si="12"/>
        <v>5094.1894252873572</v>
      </c>
      <c r="R25" s="144">
        <f t="shared" si="13"/>
        <v>1273.5473563218393</v>
      </c>
      <c r="S25" s="88"/>
    </row>
    <row r="26" spans="1:19" s="83" customFormat="1" ht="11.25" x14ac:dyDescent="0.25">
      <c r="A26" s="102">
        <v>1300</v>
      </c>
      <c r="B26" s="152">
        <v>80</v>
      </c>
      <c r="C26" s="100">
        <f t="shared" si="0"/>
        <v>138</v>
      </c>
      <c r="D26" s="99">
        <f t="shared" si="1"/>
        <v>17.25</v>
      </c>
      <c r="E26" s="151">
        <v>16</v>
      </c>
      <c r="F26" s="97">
        <f t="shared" si="2"/>
        <v>33.25</v>
      </c>
      <c r="G26" s="96">
        <f t="shared" si="3"/>
        <v>4.15625</v>
      </c>
      <c r="H26" s="145">
        <f t="shared" si="4"/>
        <v>5</v>
      </c>
      <c r="I26" s="94">
        <f t="shared" si="5"/>
        <v>4.5</v>
      </c>
      <c r="J26" s="94">
        <v>2</v>
      </c>
      <c r="K26" s="91">
        <f t="shared" si="6"/>
        <v>826.62</v>
      </c>
      <c r="L26" s="92">
        <f t="shared" si="7"/>
        <v>812</v>
      </c>
      <c r="M26" s="93">
        <f t="shared" si="8"/>
        <v>2241</v>
      </c>
      <c r="N26" s="93">
        <f t="shared" si="9"/>
        <v>1085.6199999999999</v>
      </c>
      <c r="O26" s="92">
        <f t="shared" si="10"/>
        <v>4965.24</v>
      </c>
      <c r="P26" s="91">
        <f t="shared" si="11"/>
        <v>1084.362758620691</v>
      </c>
      <c r="Q26" s="90">
        <f t="shared" si="12"/>
        <v>6049.602758620691</v>
      </c>
      <c r="R26" s="144">
        <f t="shared" si="13"/>
        <v>1209.9205517241382</v>
      </c>
      <c r="S26" s="88"/>
    </row>
    <row r="27" spans="1:19" s="83" customFormat="1" ht="11.25" x14ac:dyDescent="0.25">
      <c r="A27" s="102">
        <v>1400</v>
      </c>
      <c r="B27" s="152">
        <v>80</v>
      </c>
      <c r="C27" s="100">
        <f t="shared" si="0"/>
        <v>148</v>
      </c>
      <c r="D27" s="99">
        <f t="shared" si="1"/>
        <v>18.5</v>
      </c>
      <c r="E27" s="151">
        <v>16</v>
      </c>
      <c r="F27" s="97">
        <f t="shared" si="2"/>
        <v>34.5</v>
      </c>
      <c r="G27" s="96">
        <f t="shared" si="3"/>
        <v>4.3125</v>
      </c>
      <c r="H27" s="145">
        <f t="shared" si="4"/>
        <v>5</v>
      </c>
      <c r="I27" s="94">
        <f t="shared" si="5"/>
        <v>4.5</v>
      </c>
      <c r="J27" s="94">
        <v>2</v>
      </c>
      <c r="K27" s="91">
        <f t="shared" si="6"/>
        <v>886.52</v>
      </c>
      <c r="L27" s="92">
        <f t="shared" si="7"/>
        <v>812</v>
      </c>
      <c r="M27" s="93">
        <f t="shared" si="8"/>
        <v>2241</v>
      </c>
      <c r="N27" s="93">
        <f t="shared" si="9"/>
        <v>1117.55</v>
      </c>
      <c r="O27" s="92">
        <f t="shared" si="10"/>
        <v>5057.07</v>
      </c>
      <c r="P27" s="91">
        <f t="shared" si="11"/>
        <v>1104.417586206898</v>
      </c>
      <c r="Q27" s="90">
        <f t="shared" si="12"/>
        <v>6161.4875862068975</v>
      </c>
      <c r="R27" s="144">
        <f t="shared" si="13"/>
        <v>1232.2975172413794</v>
      </c>
      <c r="S27" s="88"/>
    </row>
    <row r="28" spans="1:19" s="83" customFormat="1" ht="11.25" x14ac:dyDescent="0.25">
      <c r="A28" s="102">
        <v>1500</v>
      </c>
      <c r="B28" s="152">
        <v>80</v>
      </c>
      <c r="C28" s="100">
        <f t="shared" si="0"/>
        <v>158</v>
      </c>
      <c r="D28" s="99">
        <f t="shared" si="1"/>
        <v>19.75</v>
      </c>
      <c r="E28" s="151">
        <v>16</v>
      </c>
      <c r="F28" s="97">
        <f t="shared" si="2"/>
        <v>35.75</v>
      </c>
      <c r="G28" s="96">
        <f t="shared" si="3"/>
        <v>4.46875</v>
      </c>
      <c r="H28" s="145">
        <f t="shared" si="4"/>
        <v>5</v>
      </c>
      <c r="I28" s="94">
        <f t="shared" si="5"/>
        <v>4.5</v>
      </c>
      <c r="J28" s="94">
        <v>2</v>
      </c>
      <c r="K28" s="91">
        <f t="shared" si="6"/>
        <v>946.42000000000007</v>
      </c>
      <c r="L28" s="92">
        <f t="shared" si="7"/>
        <v>812</v>
      </c>
      <c r="M28" s="93">
        <f t="shared" si="8"/>
        <v>2241</v>
      </c>
      <c r="N28" s="93">
        <f t="shared" si="9"/>
        <v>1149.48</v>
      </c>
      <c r="O28" s="92">
        <f t="shared" si="10"/>
        <v>5148.8999999999996</v>
      </c>
      <c r="P28" s="91">
        <f t="shared" si="11"/>
        <v>1124.4724137931048</v>
      </c>
      <c r="Q28" s="90">
        <f t="shared" si="12"/>
        <v>6273.372413793104</v>
      </c>
      <c r="R28" s="144">
        <f t="shared" si="13"/>
        <v>1254.6744827586208</v>
      </c>
      <c r="S28" s="88"/>
    </row>
    <row r="29" spans="1:19" s="83" customFormat="1" ht="11.25" x14ac:dyDescent="0.25">
      <c r="A29" s="102">
        <v>1600</v>
      </c>
      <c r="B29" s="152">
        <v>80</v>
      </c>
      <c r="C29" s="100">
        <f t="shared" si="0"/>
        <v>168</v>
      </c>
      <c r="D29" s="99">
        <f t="shared" si="1"/>
        <v>21</v>
      </c>
      <c r="E29" s="151">
        <v>16</v>
      </c>
      <c r="F29" s="97">
        <f t="shared" si="2"/>
        <v>37</v>
      </c>
      <c r="G29" s="96">
        <f t="shared" si="3"/>
        <v>4.625</v>
      </c>
      <c r="H29" s="145">
        <f t="shared" si="4"/>
        <v>5</v>
      </c>
      <c r="I29" s="94">
        <f t="shared" si="5"/>
        <v>4.5</v>
      </c>
      <c r="J29" s="94">
        <v>2</v>
      </c>
      <c r="K29" s="91">
        <f t="shared" si="6"/>
        <v>1006.32</v>
      </c>
      <c r="L29" s="92">
        <f t="shared" si="7"/>
        <v>812</v>
      </c>
      <c r="M29" s="93">
        <f t="shared" si="8"/>
        <v>2241</v>
      </c>
      <c r="N29" s="93">
        <f t="shared" si="9"/>
        <v>1181.4100000000001</v>
      </c>
      <c r="O29" s="92">
        <f t="shared" si="10"/>
        <v>5240.7300000000005</v>
      </c>
      <c r="P29" s="91">
        <f t="shared" si="11"/>
        <v>1144.527241379312</v>
      </c>
      <c r="Q29" s="90">
        <f t="shared" si="12"/>
        <v>6385.2572413793123</v>
      </c>
      <c r="R29" s="144">
        <f t="shared" si="13"/>
        <v>1277.0514482758624</v>
      </c>
      <c r="S29" s="88"/>
    </row>
    <row r="30" spans="1:19" s="83" customFormat="1" ht="11.25" x14ac:dyDescent="0.25">
      <c r="A30" s="102">
        <v>1700</v>
      </c>
      <c r="B30" s="152">
        <v>80</v>
      </c>
      <c r="C30" s="100">
        <f t="shared" si="0"/>
        <v>178</v>
      </c>
      <c r="D30" s="99">
        <f t="shared" si="1"/>
        <v>22.25</v>
      </c>
      <c r="E30" s="151">
        <v>16</v>
      </c>
      <c r="F30" s="97">
        <f t="shared" si="2"/>
        <v>38.25</v>
      </c>
      <c r="G30" s="96">
        <f t="shared" si="3"/>
        <v>4.78125</v>
      </c>
      <c r="H30" s="145">
        <f t="shared" si="4"/>
        <v>5</v>
      </c>
      <c r="I30" s="94">
        <f t="shared" si="5"/>
        <v>4.5</v>
      </c>
      <c r="J30" s="94">
        <v>2</v>
      </c>
      <c r="K30" s="91">
        <f t="shared" si="6"/>
        <v>1066.22</v>
      </c>
      <c r="L30" s="92">
        <f t="shared" si="7"/>
        <v>812</v>
      </c>
      <c r="M30" s="93">
        <f t="shared" si="8"/>
        <v>2241</v>
      </c>
      <c r="N30" s="93">
        <f t="shared" si="9"/>
        <v>1245.27</v>
      </c>
      <c r="O30" s="92">
        <f t="shared" si="10"/>
        <v>5364.49</v>
      </c>
      <c r="P30" s="91">
        <f t="shared" si="11"/>
        <v>1171.5552873563233</v>
      </c>
      <c r="Q30" s="90">
        <f t="shared" si="12"/>
        <v>6536.0452873563227</v>
      </c>
      <c r="R30" s="144">
        <f t="shared" si="13"/>
        <v>1307.2090574712645</v>
      </c>
      <c r="S30" s="88"/>
    </row>
    <row r="31" spans="1:19" s="83" customFormat="1" ht="11.25" x14ac:dyDescent="0.25">
      <c r="A31" s="102">
        <v>1800</v>
      </c>
      <c r="B31" s="152">
        <v>80</v>
      </c>
      <c r="C31" s="100">
        <f t="shared" si="0"/>
        <v>188</v>
      </c>
      <c r="D31" s="99">
        <f t="shared" si="1"/>
        <v>23.5</v>
      </c>
      <c r="E31" s="151">
        <v>16</v>
      </c>
      <c r="F31" s="97">
        <f t="shared" si="2"/>
        <v>39.5</v>
      </c>
      <c r="G31" s="96">
        <f t="shared" si="3"/>
        <v>4.9375</v>
      </c>
      <c r="H31" s="145">
        <f t="shared" si="4"/>
        <v>5</v>
      </c>
      <c r="I31" s="94">
        <f t="shared" si="5"/>
        <v>4.5</v>
      </c>
      <c r="J31" s="94">
        <v>2</v>
      </c>
      <c r="K31" s="91">
        <f t="shared" si="6"/>
        <v>1126.1200000000001</v>
      </c>
      <c r="L31" s="92">
        <f t="shared" si="7"/>
        <v>812</v>
      </c>
      <c r="M31" s="93">
        <f t="shared" si="8"/>
        <v>2241</v>
      </c>
      <c r="N31" s="93">
        <f t="shared" si="9"/>
        <v>1277.2</v>
      </c>
      <c r="O31" s="92">
        <f t="shared" si="10"/>
        <v>5456.32</v>
      </c>
      <c r="P31" s="91">
        <f t="shared" si="11"/>
        <v>1191.6101149425303</v>
      </c>
      <c r="Q31" s="90">
        <f t="shared" si="12"/>
        <v>6647.9301149425301</v>
      </c>
      <c r="R31" s="144">
        <f t="shared" si="13"/>
        <v>1329.5860229885061</v>
      </c>
      <c r="S31" s="88"/>
    </row>
    <row r="32" spans="1:19" s="83" customFormat="1" ht="11.25" x14ac:dyDescent="0.25">
      <c r="A32" s="102">
        <v>1900</v>
      </c>
      <c r="B32" s="152">
        <v>80</v>
      </c>
      <c r="C32" s="100">
        <f t="shared" si="0"/>
        <v>198</v>
      </c>
      <c r="D32" s="99">
        <f t="shared" si="1"/>
        <v>24.75</v>
      </c>
      <c r="E32" s="151">
        <v>16</v>
      </c>
      <c r="F32" s="97">
        <f t="shared" si="2"/>
        <v>40.75</v>
      </c>
      <c r="G32" s="96">
        <f t="shared" si="3"/>
        <v>5.09375</v>
      </c>
      <c r="H32" s="145">
        <f t="shared" si="4"/>
        <v>6</v>
      </c>
      <c r="I32" s="94">
        <f t="shared" si="5"/>
        <v>5.5</v>
      </c>
      <c r="J32" s="94">
        <v>2</v>
      </c>
      <c r="K32" s="91">
        <f t="shared" si="6"/>
        <v>1186.02</v>
      </c>
      <c r="L32" s="92">
        <f t="shared" si="7"/>
        <v>974.40000000000009</v>
      </c>
      <c r="M32" s="93">
        <f t="shared" si="8"/>
        <v>2739</v>
      </c>
      <c r="N32" s="93">
        <f t="shared" si="9"/>
        <v>1309.1299999999999</v>
      </c>
      <c r="O32" s="92">
        <f t="shared" si="10"/>
        <v>6208.55</v>
      </c>
      <c r="P32" s="91">
        <f t="shared" si="11"/>
        <v>1355.8902298850594</v>
      </c>
      <c r="Q32" s="90">
        <f t="shared" si="12"/>
        <v>7564.44022988506</v>
      </c>
      <c r="R32" s="144">
        <f t="shared" si="13"/>
        <v>1260.7400383141767</v>
      </c>
      <c r="S32" s="88"/>
    </row>
    <row r="33" spans="1:19" s="83" customFormat="1" ht="11.25" x14ac:dyDescent="0.25">
      <c r="A33" s="102">
        <v>2000</v>
      </c>
      <c r="B33" s="152">
        <v>80</v>
      </c>
      <c r="C33" s="100">
        <f t="shared" si="0"/>
        <v>208</v>
      </c>
      <c r="D33" s="99">
        <f t="shared" si="1"/>
        <v>26</v>
      </c>
      <c r="E33" s="151">
        <v>16</v>
      </c>
      <c r="F33" s="97">
        <f t="shared" si="2"/>
        <v>42</v>
      </c>
      <c r="G33" s="96">
        <f t="shared" si="3"/>
        <v>5.25</v>
      </c>
      <c r="H33" s="145">
        <f t="shared" si="4"/>
        <v>6</v>
      </c>
      <c r="I33" s="94">
        <f t="shared" si="5"/>
        <v>5.5</v>
      </c>
      <c r="J33" s="94">
        <v>2</v>
      </c>
      <c r="K33" s="91">
        <f t="shared" si="6"/>
        <v>1245.92</v>
      </c>
      <c r="L33" s="92">
        <f t="shared" si="7"/>
        <v>974.40000000000009</v>
      </c>
      <c r="M33" s="93">
        <f t="shared" si="8"/>
        <v>2739</v>
      </c>
      <c r="N33" s="93">
        <f t="shared" si="9"/>
        <v>1341.06</v>
      </c>
      <c r="O33" s="92">
        <f t="shared" si="10"/>
        <v>6300.3799999999992</v>
      </c>
      <c r="P33" s="91">
        <f t="shared" si="11"/>
        <v>1375.945057471266</v>
      </c>
      <c r="Q33" s="90">
        <f t="shared" si="12"/>
        <v>7676.3250574712656</v>
      </c>
      <c r="R33" s="144">
        <f t="shared" si="13"/>
        <v>1279.3875095785443</v>
      </c>
      <c r="S33" s="88"/>
    </row>
    <row r="34" spans="1:19" s="83" customFormat="1" ht="11.25" x14ac:dyDescent="0.25">
      <c r="A34" s="102">
        <v>2100</v>
      </c>
      <c r="B34" s="152">
        <v>80</v>
      </c>
      <c r="C34" s="100">
        <f t="shared" si="0"/>
        <v>218</v>
      </c>
      <c r="D34" s="99">
        <f t="shared" si="1"/>
        <v>27.25</v>
      </c>
      <c r="E34" s="151">
        <v>16</v>
      </c>
      <c r="F34" s="97">
        <f t="shared" si="2"/>
        <v>43.25</v>
      </c>
      <c r="G34" s="96">
        <f t="shared" si="3"/>
        <v>5.40625</v>
      </c>
      <c r="H34" s="145">
        <f t="shared" si="4"/>
        <v>6</v>
      </c>
      <c r="I34" s="94">
        <f t="shared" si="5"/>
        <v>5.5</v>
      </c>
      <c r="J34" s="94">
        <v>2</v>
      </c>
      <c r="K34" s="91">
        <f t="shared" si="6"/>
        <v>1305.82</v>
      </c>
      <c r="L34" s="92">
        <f t="shared" si="7"/>
        <v>974.40000000000009</v>
      </c>
      <c r="M34" s="93">
        <f t="shared" si="8"/>
        <v>2739</v>
      </c>
      <c r="N34" s="93">
        <f t="shared" si="9"/>
        <v>1404.92</v>
      </c>
      <c r="O34" s="92">
        <f t="shared" si="10"/>
        <v>6424.14</v>
      </c>
      <c r="P34" s="91">
        <f t="shared" si="11"/>
        <v>1402.9731034482777</v>
      </c>
      <c r="Q34" s="90">
        <f t="shared" si="12"/>
        <v>7827.1131034482778</v>
      </c>
      <c r="R34" s="144">
        <f t="shared" si="13"/>
        <v>1304.518850574713</v>
      </c>
      <c r="S34" s="88"/>
    </row>
    <row r="35" spans="1:19" s="83" customFormat="1" ht="11.25" x14ac:dyDescent="0.25">
      <c r="A35" s="102">
        <v>2200</v>
      </c>
      <c r="B35" s="152">
        <v>80</v>
      </c>
      <c r="C35" s="100">
        <f t="shared" si="0"/>
        <v>228</v>
      </c>
      <c r="D35" s="99">
        <f t="shared" si="1"/>
        <v>28.5</v>
      </c>
      <c r="E35" s="151">
        <v>16</v>
      </c>
      <c r="F35" s="97">
        <f t="shared" si="2"/>
        <v>44.5</v>
      </c>
      <c r="G35" s="96">
        <f t="shared" si="3"/>
        <v>5.5625</v>
      </c>
      <c r="H35" s="145">
        <f t="shared" si="4"/>
        <v>6</v>
      </c>
      <c r="I35" s="94">
        <f t="shared" si="5"/>
        <v>5.5</v>
      </c>
      <c r="J35" s="94">
        <v>2</v>
      </c>
      <c r="K35" s="91">
        <f t="shared" si="6"/>
        <v>1365.72</v>
      </c>
      <c r="L35" s="92">
        <f t="shared" si="7"/>
        <v>974.40000000000009</v>
      </c>
      <c r="M35" s="93">
        <f t="shared" si="8"/>
        <v>2739</v>
      </c>
      <c r="N35" s="93">
        <f t="shared" si="9"/>
        <v>1436.85</v>
      </c>
      <c r="O35" s="92">
        <f t="shared" si="10"/>
        <v>6515.9699999999993</v>
      </c>
      <c r="P35" s="91">
        <f t="shared" si="11"/>
        <v>1423.0279310344845</v>
      </c>
      <c r="Q35" s="90">
        <f t="shared" si="12"/>
        <v>7938.9979310344843</v>
      </c>
      <c r="R35" s="144">
        <f t="shared" si="13"/>
        <v>1323.1663218390806</v>
      </c>
      <c r="S35" s="88"/>
    </row>
    <row r="36" spans="1:19" s="83" customFormat="1" ht="11.25" x14ac:dyDescent="0.25">
      <c r="A36" s="102">
        <v>2300</v>
      </c>
      <c r="B36" s="152">
        <v>80</v>
      </c>
      <c r="C36" s="100">
        <f t="shared" si="0"/>
        <v>238</v>
      </c>
      <c r="D36" s="99">
        <f t="shared" si="1"/>
        <v>29.75</v>
      </c>
      <c r="E36" s="151">
        <v>16</v>
      </c>
      <c r="F36" s="97">
        <f t="shared" si="2"/>
        <v>45.75</v>
      </c>
      <c r="G36" s="96">
        <f t="shared" si="3"/>
        <v>5.71875</v>
      </c>
      <c r="H36" s="145">
        <f t="shared" si="4"/>
        <v>6</v>
      </c>
      <c r="I36" s="94">
        <f t="shared" si="5"/>
        <v>5.5</v>
      </c>
      <c r="J36" s="94">
        <v>2</v>
      </c>
      <c r="K36" s="91">
        <f t="shared" si="6"/>
        <v>1425.6200000000001</v>
      </c>
      <c r="L36" s="92">
        <f t="shared" si="7"/>
        <v>974.40000000000009</v>
      </c>
      <c r="M36" s="93">
        <f t="shared" si="8"/>
        <v>2739</v>
      </c>
      <c r="N36" s="93">
        <f t="shared" si="9"/>
        <v>1468.78</v>
      </c>
      <c r="O36" s="92">
        <f t="shared" si="10"/>
        <v>6607.8</v>
      </c>
      <c r="P36" s="91">
        <f t="shared" si="11"/>
        <v>1443.0827586206915</v>
      </c>
      <c r="Q36" s="90">
        <f t="shared" si="12"/>
        <v>8050.8827586206917</v>
      </c>
      <c r="R36" s="144">
        <f t="shared" si="13"/>
        <v>1341.8137931034487</v>
      </c>
      <c r="S36" s="88"/>
    </row>
    <row r="37" spans="1:19" s="83" customFormat="1" ht="11.25" x14ac:dyDescent="0.25">
      <c r="A37" s="102">
        <v>2400</v>
      </c>
      <c r="B37" s="152">
        <v>80</v>
      </c>
      <c r="C37" s="100">
        <f t="shared" si="0"/>
        <v>248</v>
      </c>
      <c r="D37" s="99">
        <f t="shared" si="1"/>
        <v>31</v>
      </c>
      <c r="E37" s="151">
        <v>16</v>
      </c>
      <c r="F37" s="97">
        <f t="shared" si="2"/>
        <v>47</v>
      </c>
      <c r="G37" s="96">
        <f t="shared" si="3"/>
        <v>5.875</v>
      </c>
      <c r="H37" s="145">
        <f t="shared" si="4"/>
        <v>6</v>
      </c>
      <c r="I37" s="94">
        <f t="shared" si="5"/>
        <v>5.5</v>
      </c>
      <c r="J37" s="94">
        <v>2</v>
      </c>
      <c r="K37" s="91">
        <f t="shared" si="6"/>
        <v>1485.52</v>
      </c>
      <c r="L37" s="92">
        <f t="shared" si="7"/>
        <v>974.40000000000009</v>
      </c>
      <c r="M37" s="93">
        <f t="shared" si="8"/>
        <v>2739</v>
      </c>
      <c r="N37" s="93">
        <f t="shared" si="9"/>
        <v>1500.71</v>
      </c>
      <c r="O37" s="92">
        <f t="shared" si="10"/>
        <v>6699.63</v>
      </c>
      <c r="P37" s="91">
        <f t="shared" si="11"/>
        <v>1463.1375862068985</v>
      </c>
      <c r="Q37" s="90">
        <f t="shared" si="12"/>
        <v>8162.7675862068991</v>
      </c>
      <c r="R37" s="144">
        <f t="shared" si="13"/>
        <v>1360.4612643678165</v>
      </c>
      <c r="S37" s="88"/>
    </row>
    <row r="38" spans="1:19" s="83" customFormat="1" ht="11.25" x14ac:dyDescent="0.25">
      <c r="A38" s="102">
        <v>2500</v>
      </c>
      <c r="B38" s="152">
        <v>80</v>
      </c>
      <c r="C38" s="100">
        <f t="shared" si="0"/>
        <v>258</v>
      </c>
      <c r="D38" s="99">
        <f t="shared" si="1"/>
        <v>32.25</v>
      </c>
      <c r="E38" s="151">
        <v>16</v>
      </c>
      <c r="F38" s="97">
        <f t="shared" si="2"/>
        <v>48.25</v>
      </c>
      <c r="G38" s="96">
        <f t="shared" si="3"/>
        <v>6.03125</v>
      </c>
      <c r="H38" s="145">
        <f t="shared" si="4"/>
        <v>7</v>
      </c>
      <c r="I38" s="94">
        <f t="shared" si="5"/>
        <v>6.5</v>
      </c>
      <c r="J38" s="94">
        <v>2</v>
      </c>
      <c r="K38" s="91">
        <f t="shared" si="6"/>
        <v>1545.42</v>
      </c>
      <c r="L38" s="92">
        <f t="shared" si="7"/>
        <v>1136.8</v>
      </c>
      <c r="M38" s="93">
        <f t="shared" si="8"/>
        <v>3237</v>
      </c>
      <c r="N38" s="93">
        <f t="shared" si="9"/>
        <v>1564.57</v>
      </c>
      <c r="O38" s="92">
        <f t="shared" si="10"/>
        <v>7483.79</v>
      </c>
      <c r="P38" s="91">
        <f t="shared" si="11"/>
        <v>1634.3909195402321</v>
      </c>
      <c r="Q38" s="90">
        <f t="shared" si="12"/>
        <v>9118.1809195402311</v>
      </c>
      <c r="R38" s="144">
        <f t="shared" si="13"/>
        <v>1302.5972742200331</v>
      </c>
      <c r="S38" s="88"/>
    </row>
    <row r="39" spans="1:19" s="80" customFormat="1" ht="11.25" x14ac:dyDescent="0.2">
      <c r="D39" s="87"/>
      <c r="E39" s="86"/>
      <c r="F39" s="85"/>
      <c r="G39" s="84"/>
      <c r="H39" s="84"/>
      <c r="I39" s="84"/>
      <c r="J39" s="84"/>
      <c r="K39" s="84"/>
      <c r="P39" s="83"/>
      <c r="Q39" s="82"/>
      <c r="R39" s="143"/>
    </row>
    <row r="40" spans="1:19" x14ac:dyDescent="0.2">
      <c r="Q40" s="79" t="s">
        <v>168</v>
      </c>
      <c r="R40" s="78">
        <f>AVERAGE(R16:R38)</f>
        <v>1235.2752038266583</v>
      </c>
    </row>
    <row r="45" spans="1:19" s="76" customFormat="1" ht="11.25" x14ac:dyDescent="0.2">
      <c r="R45" s="142"/>
    </row>
    <row r="46" spans="1:19" s="76" customFormat="1" ht="11.25" x14ac:dyDescent="0.2">
      <c r="R46" s="142"/>
    </row>
    <row r="47" spans="1:19" s="76" customFormat="1" ht="11.25" x14ac:dyDescent="0.2">
      <c r="R47" s="142"/>
    </row>
    <row r="48" spans="1:19" s="76" customFormat="1" ht="11.25" x14ac:dyDescent="0.2">
      <c r="R48" s="142"/>
    </row>
    <row r="49" spans="18:18" s="76" customFormat="1" ht="11.25" x14ac:dyDescent="0.2">
      <c r="R49" s="142"/>
    </row>
    <row r="50" spans="18:18" s="76" customFormat="1" ht="11.25" x14ac:dyDescent="0.2">
      <c r="R50" s="142"/>
    </row>
    <row r="52" spans="18:18" s="76" customFormat="1" ht="11.25" x14ac:dyDescent="0.2">
      <c r="R52" s="142"/>
    </row>
  </sheetData>
  <mergeCells count="1">
    <mergeCell ref="A12:E12"/>
  </mergeCells>
  <pageMargins left="0.78740157480314965" right="0.78740157480314965" top="0.98425196850393704" bottom="0.98425196850393704" header="0.51181102362204722" footer="0.51181102362204722"/>
  <pageSetup paperSize="9" scale="52" firstPageNumber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9"/>
  <sheetViews>
    <sheetView zoomScaleNormal="100" workbookViewId="0">
      <selection activeCell="F13" sqref="F13"/>
    </sheetView>
  </sheetViews>
  <sheetFormatPr defaultColWidth="8" defaultRowHeight="12.75" x14ac:dyDescent="0.2"/>
  <cols>
    <col min="1" max="3" width="13.5703125" style="76" customWidth="1"/>
    <col min="4" max="4" width="13.5703125" style="141" customWidth="1"/>
    <col min="5" max="5" width="13.5703125" style="140" customWidth="1"/>
    <col min="6" max="6" width="13.5703125" style="139" customWidth="1"/>
    <col min="7" max="11" width="13.5703125" style="138" customWidth="1"/>
    <col min="12" max="15" width="13.5703125" style="76" customWidth="1"/>
    <col min="16" max="16" width="13.5703125" style="130" customWidth="1"/>
    <col min="17" max="17" width="13.5703125" style="134" customWidth="1"/>
    <col min="18" max="18" width="13.5703125" style="137" customWidth="1"/>
    <col min="19" max="1025" width="8" style="76"/>
    <col min="1026" max="16384" width="8" style="75"/>
  </cols>
  <sheetData>
    <row r="1" spans="1:19" x14ac:dyDescent="0.2">
      <c r="A1" s="136" t="s">
        <v>203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50"/>
    </row>
    <row r="2" spans="1:19" x14ac:dyDescent="0.2">
      <c r="A2" s="135" t="s">
        <v>215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50"/>
    </row>
    <row r="3" spans="1:19" x14ac:dyDescent="0.2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</row>
    <row r="4" spans="1:19" x14ac:dyDescent="0.2">
      <c r="A4" s="133" t="s">
        <v>201</v>
      </c>
      <c r="B4" s="132"/>
      <c r="C4" s="132"/>
      <c r="D4" s="132"/>
      <c r="E4" s="132"/>
      <c r="F4" s="132"/>
    </row>
    <row r="5" spans="1:19" x14ac:dyDescent="0.2">
      <c r="A5" s="125" t="s">
        <v>200</v>
      </c>
      <c r="B5" s="124"/>
      <c r="C5" s="124"/>
      <c r="D5" s="124"/>
      <c r="E5" s="123"/>
      <c r="F5" s="121">
        <v>65</v>
      </c>
    </row>
    <row r="6" spans="1:19" x14ac:dyDescent="0.2">
      <c r="A6" s="125" t="s">
        <v>199</v>
      </c>
      <c r="B6" s="124"/>
      <c r="C6" s="124"/>
      <c r="D6" s="124"/>
      <c r="E6" s="123"/>
      <c r="F6" s="121">
        <v>4</v>
      </c>
    </row>
    <row r="7" spans="1:19" x14ac:dyDescent="0.2">
      <c r="A7" s="125" t="s">
        <v>198</v>
      </c>
      <c r="B7" s="124"/>
      <c r="C7" s="124"/>
      <c r="D7" s="124"/>
      <c r="E7" s="123"/>
      <c r="F7" s="121">
        <v>162.4</v>
      </c>
    </row>
    <row r="8" spans="1:19" x14ac:dyDescent="0.2">
      <c r="A8" s="125" t="s">
        <v>197</v>
      </c>
      <c r="B8" s="124"/>
      <c r="C8" s="124"/>
      <c r="D8" s="124"/>
      <c r="E8" s="123"/>
      <c r="F8" s="127" t="s">
        <v>196</v>
      </c>
    </row>
    <row r="9" spans="1:19" x14ac:dyDescent="0.2">
      <c r="A9" s="125" t="s">
        <v>195</v>
      </c>
      <c r="B9" s="124"/>
      <c r="C9" s="124"/>
      <c r="D9" s="124"/>
      <c r="E9" s="123"/>
      <c r="F9" s="126">
        <v>5.99</v>
      </c>
    </row>
    <row r="10" spans="1:19" x14ac:dyDescent="0.2">
      <c r="A10" s="125" t="s">
        <v>194</v>
      </c>
      <c r="B10" s="124"/>
      <c r="C10" s="124"/>
      <c r="D10" s="124"/>
      <c r="E10" s="123"/>
      <c r="F10" s="121">
        <v>10</v>
      </c>
    </row>
    <row r="11" spans="1:19" s="128" customFormat="1" ht="11.25" x14ac:dyDescent="0.25">
      <c r="A11" s="125" t="s">
        <v>193</v>
      </c>
      <c r="B11" s="124"/>
      <c r="C11" s="124"/>
      <c r="D11" s="124"/>
      <c r="E11" s="123"/>
      <c r="F11" s="122">
        <v>249</v>
      </c>
      <c r="G11" s="131"/>
      <c r="H11" s="131"/>
      <c r="I11" s="131"/>
      <c r="J11" s="131"/>
      <c r="K11" s="131"/>
      <c r="P11" s="130"/>
      <c r="Q11" s="130"/>
      <c r="R11" s="149"/>
    </row>
    <row r="12" spans="1:19" x14ac:dyDescent="0.2">
      <c r="A12" s="192" t="s">
        <v>223</v>
      </c>
      <c r="B12" s="193"/>
      <c r="C12" s="193"/>
      <c r="D12" s="193"/>
      <c r="E12" s="194"/>
      <c r="F12" s="121">
        <v>31.93</v>
      </c>
    </row>
    <row r="13" spans="1:19" x14ac:dyDescent="0.2">
      <c r="A13" s="119"/>
      <c r="B13" s="119"/>
      <c r="C13" s="119"/>
    </row>
    <row r="14" spans="1:19" s="83" customFormat="1" ht="90" x14ac:dyDescent="0.25">
      <c r="A14" s="111" t="s">
        <v>192</v>
      </c>
      <c r="B14" s="155" t="s">
        <v>207</v>
      </c>
      <c r="C14" s="111" t="s">
        <v>190</v>
      </c>
      <c r="D14" s="117" t="s">
        <v>206</v>
      </c>
      <c r="E14" s="154" t="s">
        <v>214</v>
      </c>
      <c r="F14" s="115" t="s">
        <v>187</v>
      </c>
      <c r="G14" s="114" t="s">
        <v>186</v>
      </c>
      <c r="H14" s="114" t="s">
        <v>185</v>
      </c>
      <c r="I14" s="114" t="s">
        <v>184</v>
      </c>
      <c r="J14" s="114" t="s">
        <v>183</v>
      </c>
      <c r="K14" s="111" t="s">
        <v>182</v>
      </c>
      <c r="L14" s="111" t="s">
        <v>181</v>
      </c>
      <c r="M14" s="111" t="s">
        <v>213</v>
      </c>
      <c r="N14" s="111" t="s">
        <v>179</v>
      </c>
      <c r="O14" s="111" t="s">
        <v>178</v>
      </c>
      <c r="P14" s="112" t="s">
        <v>177</v>
      </c>
      <c r="Q14" s="111" t="s">
        <v>204</v>
      </c>
      <c r="R14" s="146" t="s">
        <v>175</v>
      </c>
    </row>
    <row r="15" spans="1:19" s="104" customFormat="1" ht="11.25" x14ac:dyDescent="0.25">
      <c r="A15" s="105" t="s">
        <v>174</v>
      </c>
      <c r="B15" s="105" t="s">
        <v>174</v>
      </c>
      <c r="C15" s="105" t="s">
        <v>173</v>
      </c>
      <c r="D15" s="107" t="s">
        <v>172</v>
      </c>
      <c r="E15" s="109" t="s">
        <v>172</v>
      </c>
      <c r="F15" s="108" t="s">
        <v>172</v>
      </c>
      <c r="G15" s="107" t="s">
        <v>171</v>
      </c>
      <c r="H15" s="107" t="s">
        <v>170</v>
      </c>
      <c r="I15" s="105" t="s">
        <v>170</v>
      </c>
      <c r="J15" s="105"/>
      <c r="K15" s="105" t="s">
        <v>169</v>
      </c>
      <c r="L15" s="105" t="s">
        <v>169</v>
      </c>
      <c r="M15" s="105" t="s">
        <v>169</v>
      </c>
      <c r="N15" s="105" t="s">
        <v>169</v>
      </c>
      <c r="O15" s="105" t="s">
        <v>169</v>
      </c>
      <c r="P15" s="106">
        <f>engcivarq!C146</f>
        <v>0.21839080459770144</v>
      </c>
      <c r="Q15" s="105" t="s">
        <v>169</v>
      </c>
      <c r="R15" s="105" t="s">
        <v>169</v>
      </c>
    </row>
    <row r="16" spans="1:19" s="83" customFormat="1" ht="11.25" x14ac:dyDescent="0.25">
      <c r="A16" s="102">
        <v>400</v>
      </c>
      <c r="B16" s="152">
        <v>100</v>
      </c>
      <c r="C16" s="100">
        <f t="shared" ref="C16:C35" si="0">((A16+B16)/10)</f>
        <v>50</v>
      </c>
      <c r="D16" s="99">
        <f t="shared" ref="D16:D35" si="1">((A16+B16)/80)</f>
        <v>6.25</v>
      </c>
      <c r="E16" s="151">
        <v>20</v>
      </c>
      <c r="F16" s="97">
        <f t="shared" ref="F16:F35" si="2">D16+E16</f>
        <v>26.25</v>
      </c>
      <c r="G16" s="96">
        <f t="shared" ref="G16:G35" si="3">F16/8</f>
        <v>3.28125</v>
      </c>
      <c r="H16" s="145">
        <f t="shared" ref="H16:H35" si="4">ROUNDUP(G16,0)</f>
        <v>4</v>
      </c>
      <c r="I16" s="94">
        <f t="shared" ref="I16:I35" si="5">H16-0.5</f>
        <v>3.5</v>
      </c>
      <c r="J16" s="94">
        <v>2</v>
      </c>
      <c r="K16" s="91">
        <f t="shared" ref="K16:K35" si="6">C16*$F$9</f>
        <v>299.5</v>
      </c>
      <c r="L16" s="92">
        <f t="shared" ref="L16:L35" si="7">H16*$F$7</f>
        <v>649.6</v>
      </c>
      <c r="M16" s="93">
        <f t="shared" ref="M16:M35" si="8">(I16*$F$11)*J16</f>
        <v>1743</v>
      </c>
      <c r="N16" s="93">
        <f t="shared" ref="N16:N35" si="9">+(ROUNDUP(F16,0))*$F$12</f>
        <v>862.11</v>
      </c>
      <c r="O16" s="92">
        <f t="shared" ref="O16:O35" si="10">K16+L16+M16+N16</f>
        <v>3554.21</v>
      </c>
      <c r="P16" s="91">
        <f t="shared" ref="P16:P35" si="11">O16*$P$15</f>
        <v>776.20678160919647</v>
      </c>
      <c r="Q16" s="90">
        <f t="shared" ref="Q16:Q35" si="12">O16+P16</f>
        <v>4330.4167816091967</v>
      </c>
      <c r="R16" s="144">
        <f t="shared" ref="R16:R35" si="13">Q16/H16</f>
        <v>1082.6041954022992</v>
      </c>
      <c r="S16" s="88"/>
    </row>
    <row r="17" spans="1:19" s="83" customFormat="1" ht="11.25" x14ac:dyDescent="0.25">
      <c r="A17" s="102">
        <v>500</v>
      </c>
      <c r="B17" s="152">
        <v>100</v>
      </c>
      <c r="C17" s="100">
        <f t="shared" si="0"/>
        <v>60</v>
      </c>
      <c r="D17" s="99">
        <f t="shared" si="1"/>
        <v>7.5</v>
      </c>
      <c r="E17" s="151">
        <v>20</v>
      </c>
      <c r="F17" s="97">
        <f t="shared" si="2"/>
        <v>27.5</v>
      </c>
      <c r="G17" s="96">
        <f t="shared" si="3"/>
        <v>3.4375</v>
      </c>
      <c r="H17" s="145">
        <f t="shared" si="4"/>
        <v>4</v>
      </c>
      <c r="I17" s="94">
        <f t="shared" si="5"/>
        <v>3.5</v>
      </c>
      <c r="J17" s="94">
        <v>2</v>
      </c>
      <c r="K17" s="91">
        <f t="shared" si="6"/>
        <v>359.40000000000003</v>
      </c>
      <c r="L17" s="92">
        <f t="shared" si="7"/>
        <v>649.6</v>
      </c>
      <c r="M17" s="93">
        <f t="shared" si="8"/>
        <v>1743</v>
      </c>
      <c r="N17" s="93">
        <f t="shared" si="9"/>
        <v>894.04</v>
      </c>
      <c r="O17" s="92">
        <f t="shared" si="10"/>
        <v>3646.04</v>
      </c>
      <c r="P17" s="91">
        <f t="shared" si="11"/>
        <v>796.26160919540337</v>
      </c>
      <c r="Q17" s="90">
        <f t="shared" si="12"/>
        <v>4442.3016091954032</v>
      </c>
      <c r="R17" s="144">
        <f t="shared" si="13"/>
        <v>1110.5754022988508</v>
      </c>
      <c r="S17" s="88"/>
    </row>
    <row r="18" spans="1:19" s="83" customFormat="1" ht="11.25" x14ac:dyDescent="0.25">
      <c r="A18" s="102">
        <v>600</v>
      </c>
      <c r="B18" s="152">
        <v>100</v>
      </c>
      <c r="C18" s="100">
        <f t="shared" si="0"/>
        <v>70</v>
      </c>
      <c r="D18" s="99">
        <f t="shared" si="1"/>
        <v>8.75</v>
      </c>
      <c r="E18" s="151">
        <v>20</v>
      </c>
      <c r="F18" s="97">
        <f t="shared" si="2"/>
        <v>28.75</v>
      </c>
      <c r="G18" s="96">
        <f t="shared" si="3"/>
        <v>3.59375</v>
      </c>
      <c r="H18" s="145">
        <f t="shared" si="4"/>
        <v>4</v>
      </c>
      <c r="I18" s="94">
        <f t="shared" si="5"/>
        <v>3.5</v>
      </c>
      <c r="J18" s="94">
        <v>2</v>
      </c>
      <c r="K18" s="91">
        <f t="shared" si="6"/>
        <v>419.3</v>
      </c>
      <c r="L18" s="92">
        <f t="shared" si="7"/>
        <v>649.6</v>
      </c>
      <c r="M18" s="93">
        <f t="shared" si="8"/>
        <v>1743</v>
      </c>
      <c r="N18" s="93">
        <f t="shared" si="9"/>
        <v>925.97</v>
      </c>
      <c r="O18" s="92">
        <f t="shared" si="10"/>
        <v>3737.87</v>
      </c>
      <c r="P18" s="91">
        <f t="shared" si="11"/>
        <v>816.31643678161026</v>
      </c>
      <c r="Q18" s="90">
        <f t="shared" si="12"/>
        <v>4554.1864367816106</v>
      </c>
      <c r="R18" s="144">
        <f t="shared" si="13"/>
        <v>1138.5466091954027</v>
      </c>
      <c r="S18" s="88"/>
    </row>
    <row r="19" spans="1:19" s="83" customFormat="1" ht="11.25" x14ac:dyDescent="0.25">
      <c r="A19" s="102">
        <v>700</v>
      </c>
      <c r="B19" s="152">
        <v>100</v>
      </c>
      <c r="C19" s="100">
        <f t="shared" si="0"/>
        <v>80</v>
      </c>
      <c r="D19" s="99">
        <f t="shared" si="1"/>
        <v>10</v>
      </c>
      <c r="E19" s="151">
        <v>20</v>
      </c>
      <c r="F19" s="97">
        <f t="shared" si="2"/>
        <v>30</v>
      </c>
      <c r="G19" s="96">
        <f t="shared" si="3"/>
        <v>3.75</v>
      </c>
      <c r="H19" s="145">
        <f t="shared" si="4"/>
        <v>4</v>
      </c>
      <c r="I19" s="94">
        <f t="shared" si="5"/>
        <v>3.5</v>
      </c>
      <c r="J19" s="94">
        <v>2</v>
      </c>
      <c r="K19" s="91">
        <f t="shared" si="6"/>
        <v>479.20000000000005</v>
      </c>
      <c r="L19" s="92">
        <f t="shared" si="7"/>
        <v>649.6</v>
      </c>
      <c r="M19" s="93">
        <f t="shared" si="8"/>
        <v>1743</v>
      </c>
      <c r="N19" s="93">
        <f t="shared" si="9"/>
        <v>957.9</v>
      </c>
      <c r="O19" s="92">
        <f t="shared" si="10"/>
        <v>3829.7000000000003</v>
      </c>
      <c r="P19" s="91">
        <f t="shared" si="11"/>
        <v>836.37126436781728</v>
      </c>
      <c r="Q19" s="90">
        <f t="shared" si="12"/>
        <v>4666.071264367818</v>
      </c>
      <c r="R19" s="144">
        <f t="shared" si="13"/>
        <v>1166.5178160919545</v>
      </c>
      <c r="S19" s="88"/>
    </row>
    <row r="20" spans="1:19" s="83" customFormat="1" ht="11.25" x14ac:dyDescent="0.25">
      <c r="A20" s="102">
        <v>800</v>
      </c>
      <c r="B20" s="152">
        <v>100</v>
      </c>
      <c r="C20" s="100">
        <f t="shared" si="0"/>
        <v>90</v>
      </c>
      <c r="D20" s="99">
        <f t="shared" si="1"/>
        <v>11.25</v>
      </c>
      <c r="E20" s="151">
        <v>20</v>
      </c>
      <c r="F20" s="97">
        <f t="shared" si="2"/>
        <v>31.25</v>
      </c>
      <c r="G20" s="96">
        <f t="shared" si="3"/>
        <v>3.90625</v>
      </c>
      <c r="H20" s="145">
        <f t="shared" si="4"/>
        <v>4</v>
      </c>
      <c r="I20" s="94">
        <f t="shared" si="5"/>
        <v>3.5</v>
      </c>
      <c r="J20" s="94">
        <v>2</v>
      </c>
      <c r="K20" s="91">
        <f t="shared" si="6"/>
        <v>539.1</v>
      </c>
      <c r="L20" s="92">
        <f t="shared" si="7"/>
        <v>649.6</v>
      </c>
      <c r="M20" s="93">
        <f t="shared" si="8"/>
        <v>1743</v>
      </c>
      <c r="N20" s="93">
        <f t="shared" si="9"/>
        <v>1021.76</v>
      </c>
      <c r="O20" s="92">
        <f t="shared" si="10"/>
        <v>3953.46</v>
      </c>
      <c r="P20" s="91">
        <f t="shared" si="11"/>
        <v>863.39931034482879</v>
      </c>
      <c r="Q20" s="90">
        <f t="shared" si="12"/>
        <v>4816.8593103448293</v>
      </c>
      <c r="R20" s="144">
        <f t="shared" si="13"/>
        <v>1204.2148275862073</v>
      </c>
      <c r="S20" s="88"/>
    </row>
    <row r="21" spans="1:19" s="83" customFormat="1" ht="11.25" x14ac:dyDescent="0.25">
      <c r="A21" s="102">
        <v>900</v>
      </c>
      <c r="B21" s="152">
        <v>100</v>
      </c>
      <c r="C21" s="100">
        <f t="shared" si="0"/>
        <v>100</v>
      </c>
      <c r="D21" s="99">
        <f t="shared" si="1"/>
        <v>12.5</v>
      </c>
      <c r="E21" s="151">
        <v>20</v>
      </c>
      <c r="F21" s="97">
        <f t="shared" si="2"/>
        <v>32.5</v>
      </c>
      <c r="G21" s="96">
        <f t="shared" si="3"/>
        <v>4.0625</v>
      </c>
      <c r="H21" s="145">
        <f t="shared" si="4"/>
        <v>5</v>
      </c>
      <c r="I21" s="94">
        <f t="shared" si="5"/>
        <v>4.5</v>
      </c>
      <c r="J21" s="94">
        <v>2</v>
      </c>
      <c r="K21" s="91">
        <f t="shared" si="6"/>
        <v>599</v>
      </c>
      <c r="L21" s="92">
        <f t="shared" si="7"/>
        <v>812</v>
      </c>
      <c r="M21" s="93">
        <f t="shared" si="8"/>
        <v>2241</v>
      </c>
      <c r="N21" s="93">
        <f t="shared" si="9"/>
        <v>1053.69</v>
      </c>
      <c r="O21" s="92">
        <f t="shared" si="10"/>
        <v>4705.6900000000005</v>
      </c>
      <c r="P21" s="91">
        <f t="shared" si="11"/>
        <v>1027.6794252873578</v>
      </c>
      <c r="Q21" s="90">
        <f t="shared" si="12"/>
        <v>5733.3694252873584</v>
      </c>
      <c r="R21" s="144">
        <f t="shared" si="13"/>
        <v>1146.6738850574716</v>
      </c>
      <c r="S21" s="88"/>
    </row>
    <row r="22" spans="1:19" s="83" customFormat="1" ht="11.25" x14ac:dyDescent="0.25">
      <c r="A22" s="102">
        <v>1000</v>
      </c>
      <c r="B22" s="152">
        <v>100</v>
      </c>
      <c r="C22" s="100">
        <f t="shared" si="0"/>
        <v>110</v>
      </c>
      <c r="D22" s="99">
        <f t="shared" si="1"/>
        <v>13.75</v>
      </c>
      <c r="E22" s="151">
        <v>20</v>
      </c>
      <c r="F22" s="97">
        <f t="shared" si="2"/>
        <v>33.75</v>
      </c>
      <c r="G22" s="96">
        <f t="shared" si="3"/>
        <v>4.21875</v>
      </c>
      <c r="H22" s="145">
        <f t="shared" si="4"/>
        <v>5</v>
      </c>
      <c r="I22" s="94">
        <f t="shared" si="5"/>
        <v>4.5</v>
      </c>
      <c r="J22" s="94">
        <v>2</v>
      </c>
      <c r="K22" s="91">
        <f t="shared" si="6"/>
        <v>658.9</v>
      </c>
      <c r="L22" s="92">
        <f t="shared" si="7"/>
        <v>812</v>
      </c>
      <c r="M22" s="93">
        <f t="shared" si="8"/>
        <v>2241</v>
      </c>
      <c r="N22" s="93">
        <f t="shared" si="9"/>
        <v>1085.6199999999999</v>
      </c>
      <c r="O22" s="92">
        <f t="shared" si="10"/>
        <v>4797.5200000000004</v>
      </c>
      <c r="P22" s="91">
        <f t="shared" si="11"/>
        <v>1047.7342528735646</v>
      </c>
      <c r="Q22" s="90">
        <f t="shared" si="12"/>
        <v>5845.2542528735648</v>
      </c>
      <c r="R22" s="144">
        <f t="shared" si="13"/>
        <v>1169.050850574713</v>
      </c>
      <c r="S22" s="88"/>
    </row>
    <row r="23" spans="1:19" s="83" customFormat="1" ht="11.25" x14ac:dyDescent="0.25">
      <c r="A23" s="102">
        <v>1100</v>
      </c>
      <c r="B23" s="152">
        <v>100</v>
      </c>
      <c r="C23" s="100">
        <f t="shared" si="0"/>
        <v>120</v>
      </c>
      <c r="D23" s="99">
        <f t="shared" si="1"/>
        <v>15</v>
      </c>
      <c r="E23" s="151">
        <v>20</v>
      </c>
      <c r="F23" s="97">
        <f t="shared" si="2"/>
        <v>35</v>
      </c>
      <c r="G23" s="96">
        <f t="shared" si="3"/>
        <v>4.375</v>
      </c>
      <c r="H23" s="145">
        <f t="shared" si="4"/>
        <v>5</v>
      </c>
      <c r="I23" s="94">
        <f t="shared" si="5"/>
        <v>4.5</v>
      </c>
      <c r="J23" s="94">
        <v>2</v>
      </c>
      <c r="K23" s="91">
        <f t="shared" si="6"/>
        <v>718.80000000000007</v>
      </c>
      <c r="L23" s="92">
        <f t="shared" si="7"/>
        <v>812</v>
      </c>
      <c r="M23" s="93">
        <f t="shared" si="8"/>
        <v>2241</v>
      </c>
      <c r="N23" s="93">
        <f t="shared" si="9"/>
        <v>1117.55</v>
      </c>
      <c r="O23" s="92">
        <f t="shared" si="10"/>
        <v>4889.3500000000004</v>
      </c>
      <c r="P23" s="91">
        <f t="shared" si="11"/>
        <v>1067.7890804597716</v>
      </c>
      <c r="Q23" s="90">
        <f t="shared" si="12"/>
        <v>5957.1390804597722</v>
      </c>
      <c r="R23" s="144">
        <f t="shared" si="13"/>
        <v>1191.4278160919544</v>
      </c>
      <c r="S23" s="88"/>
    </row>
    <row r="24" spans="1:19" s="83" customFormat="1" ht="11.25" x14ac:dyDescent="0.25">
      <c r="A24" s="102">
        <v>1200</v>
      </c>
      <c r="B24" s="152">
        <v>100</v>
      </c>
      <c r="C24" s="100">
        <f t="shared" si="0"/>
        <v>130</v>
      </c>
      <c r="D24" s="99">
        <f t="shared" si="1"/>
        <v>16.25</v>
      </c>
      <c r="E24" s="151">
        <v>20</v>
      </c>
      <c r="F24" s="97">
        <f t="shared" si="2"/>
        <v>36.25</v>
      </c>
      <c r="G24" s="96">
        <f t="shared" si="3"/>
        <v>4.53125</v>
      </c>
      <c r="H24" s="145">
        <f t="shared" si="4"/>
        <v>5</v>
      </c>
      <c r="I24" s="94">
        <f t="shared" si="5"/>
        <v>4.5</v>
      </c>
      <c r="J24" s="94">
        <v>2</v>
      </c>
      <c r="K24" s="91">
        <f t="shared" si="6"/>
        <v>778.7</v>
      </c>
      <c r="L24" s="92">
        <f t="shared" si="7"/>
        <v>812</v>
      </c>
      <c r="M24" s="93">
        <f t="shared" si="8"/>
        <v>2241</v>
      </c>
      <c r="N24" s="93">
        <f t="shared" si="9"/>
        <v>1181.4100000000001</v>
      </c>
      <c r="O24" s="92">
        <f t="shared" si="10"/>
        <v>5013.1099999999997</v>
      </c>
      <c r="P24" s="91">
        <f t="shared" si="11"/>
        <v>1094.8171264367829</v>
      </c>
      <c r="Q24" s="90">
        <f t="shared" si="12"/>
        <v>6107.9271264367826</v>
      </c>
      <c r="R24" s="144">
        <f t="shared" si="13"/>
        <v>1221.5854252873564</v>
      </c>
      <c r="S24" s="88"/>
    </row>
    <row r="25" spans="1:19" s="83" customFormat="1" ht="11.25" x14ac:dyDescent="0.25">
      <c r="A25" s="102">
        <v>1300</v>
      </c>
      <c r="B25" s="152">
        <v>100</v>
      </c>
      <c r="C25" s="100">
        <f t="shared" si="0"/>
        <v>140</v>
      </c>
      <c r="D25" s="99">
        <f t="shared" si="1"/>
        <v>17.5</v>
      </c>
      <c r="E25" s="151">
        <v>20</v>
      </c>
      <c r="F25" s="97">
        <f t="shared" si="2"/>
        <v>37.5</v>
      </c>
      <c r="G25" s="96">
        <f t="shared" si="3"/>
        <v>4.6875</v>
      </c>
      <c r="H25" s="145">
        <f t="shared" si="4"/>
        <v>5</v>
      </c>
      <c r="I25" s="94">
        <f t="shared" si="5"/>
        <v>4.5</v>
      </c>
      <c r="J25" s="94">
        <v>2</v>
      </c>
      <c r="K25" s="91">
        <f t="shared" si="6"/>
        <v>838.6</v>
      </c>
      <c r="L25" s="92">
        <f t="shared" si="7"/>
        <v>812</v>
      </c>
      <c r="M25" s="93">
        <f t="shared" si="8"/>
        <v>2241</v>
      </c>
      <c r="N25" s="93">
        <f t="shared" si="9"/>
        <v>1213.3399999999999</v>
      </c>
      <c r="O25" s="92">
        <f t="shared" si="10"/>
        <v>5104.9399999999996</v>
      </c>
      <c r="P25" s="91">
        <f t="shared" si="11"/>
        <v>1114.8719540229899</v>
      </c>
      <c r="Q25" s="90">
        <f t="shared" si="12"/>
        <v>6219.8119540229891</v>
      </c>
      <c r="R25" s="144">
        <f t="shared" si="13"/>
        <v>1243.9623908045978</v>
      </c>
      <c r="S25" s="88"/>
    </row>
    <row r="26" spans="1:19" s="83" customFormat="1" ht="11.25" x14ac:dyDescent="0.25">
      <c r="A26" s="102">
        <v>1400</v>
      </c>
      <c r="B26" s="152">
        <v>100</v>
      </c>
      <c r="C26" s="100">
        <f t="shared" si="0"/>
        <v>150</v>
      </c>
      <c r="D26" s="99">
        <f t="shared" si="1"/>
        <v>18.75</v>
      </c>
      <c r="E26" s="151">
        <v>20</v>
      </c>
      <c r="F26" s="97">
        <f t="shared" si="2"/>
        <v>38.75</v>
      </c>
      <c r="G26" s="96">
        <f t="shared" si="3"/>
        <v>4.84375</v>
      </c>
      <c r="H26" s="145">
        <f t="shared" si="4"/>
        <v>5</v>
      </c>
      <c r="I26" s="94">
        <f t="shared" si="5"/>
        <v>4.5</v>
      </c>
      <c r="J26" s="94">
        <v>2</v>
      </c>
      <c r="K26" s="91">
        <f t="shared" si="6"/>
        <v>898.5</v>
      </c>
      <c r="L26" s="92">
        <f t="shared" si="7"/>
        <v>812</v>
      </c>
      <c r="M26" s="93">
        <f t="shared" si="8"/>
        <v>2241</v>
      </c>
      <c r="N26" s="93">
        <f t="shared" si="9"/>
        <v>1245.27</v>
      </c>
      <c r="O26" s="92">
        <f t="shared" si="10"/>
        <v>5196.7700000000004</v>
      </c>
      <c r="P26" s="91">
        <f t="shared" si="11"/>
        <v>1134.926781609197</v>
      </c>
      <c r="Q26" s="90">
        <f t="shared" si="12"/>
        <v>6331.6967816091974</v>
      </c>
      <c r="R26" s="144">
        <f t="shared" si="13"/>
        <v>1266.3393563218394</v>
      </c>
      <c r="S26" s="88"/>
    </row>
    <row r="27" spans="1:19" s="83" customFormat="1" ht="11.25" x14ac:dyDescent="0.25">
      <c r="A27" s="102">
        <v>1500</v>
      </c>
      <c r="B27" s="152">
        <v>100</v>
      </c>
      <c r="C27" s="100">
        <f t="shared" si="0"/>
        <v>160</v>
      </c>
      <c r="D27" s="99">
        <f t="shared" si="1"/>
        <v>20</v>
      </c>
      <c r="E27" s="151">
        <v>20</v>
      </c>
      <c r="F27" s="97">
        <f t="shared" si="2"/>
        <v>40</v>
      </c>
      <c r="G27" s="96">
        <f t="shared" si="3"/>
        <v>5</v>
      </c>
      <c r="H27" s="145">
        <f t="shared" si="4"/>
        <v>5</v>
      </c>
      <c r="I27" s="94">
        <f t="shared" si="5"/>
        <v>4.5</v>
      </c>
      <c r="J27" s="94">
        <v>2</v>
      </c>
      <c r="K27" s="91">
        <f t="shared" si="6"/>
        <v>958.40000000000009</v>
      </c>
      <c r="L27" s="92">
        <f t="shared" si="7"/>
        <v>812</v>
      </c>
      <c r="M27" s="93">
        <f t="shared" si="8"/>
        <v>2241</v>
      </c>
      <c r="N27" s="93">
        <f t="shared" si="9"/>
        <v>1277.2</v>
      </c>
      <c r="O27" s="92">
        <f t="shared" si="10"/>
        <v>5288.6</v>
      </c>
      <c r="P27" s="91">
        <f t="shared" si="11"/>
        <v>1154.981609195404</v>
      </c>
      <c r="Q27" s="90">
        <f t="shared" si="12"/>
        <v>6443.5816091954039</v>
      </c>
      <c r="R27" s="144">
        <f t="shared" si="13"/>
        <v>1288.7163218390808</v>
      </c>
      <c r="S27" s="88"/>
    </row>
    <row r="28" spans="1:19" s="83" customFormat="1" ht="11.25" x14ac:dyDescent="0.25">
      <c r="A28" s="102">
        <v>1600</v>
      </c>
      <c r="B28" s="152">
        <v>100</v>
      </c>
      <c r="C28" s="100">
        <f t="shared" si="0"/>
        <v>170</v>
      </c>
      <c r="D28" s="99">
        <f t="shared" si="1"/>
        <v>21.25</v>
      </c>
      <c r="E28" s="151">
        <v>20</v>
      </c>
      <c r="F28" s="97">
        <f t="shared" si="2"/>
        <v>41.25</v>
      </c>
      <c r="G28" s="96">
        <f t="shared" si="3"/>
        <v>5.15625</v>
      </c>
      <c r="H28" s="145">
        <f t="shared" si="4"/>
        <v>6</v>
      </c>
      <c r="I28" s="94">
        <f t="shared" si="5"/>
        <v>5.5</v>
      </c>
      <c r="J28" s="94">
        <v>2</v>
      </c>
      <c r="K28" s="91">
        <f t="shared" si="6"/>
        <v>1018.3000000000001</v>
      </c>
      <c r="L28" s="92">
        <f t="shared" si="7"/>
        <v>974.40000000000009</v>
      </c>
      <c r="M28" s="93">
        <f t="shared" si="8"/>
        <v>2739</v>
      </c>
      <c r="N28" s="93">
        <f t="shared" si="9"/>
        <v>1341.06</v>
      </c>
      <c r="O28" s="92">
        <f t="shared" si="10"/>
        <v>6072.76</v>
      </c>
      <c r="P28" s="91">
        <f t="shared" si="11"/>
        <v>1326.2349425287375</v>
      </c>
      <c r="Q28" s="90">
        <f t="shared" si="12"/>
        <v>7398.9949425287377</v>
      </c>
      <c r="R28" s="144">
        <f t="shared" si="13"/>
        <v>1233.1658237547897</v>
      </c>
      <c r="S28" s="88"/>
    </row>
    <row r="29" spans="1:19" s="83" customFormat="1" ht="11.25" x14ac:dyDescent="0.25">
      <c r="A29" s="102">
        <v>1700</v>
      </c>
      <c r="B29" s="152">
        <v>100</v>
      </c>
      <c r="C29" s="100">
        <f t="shared" si="0"/>
        <v>180</v>
      </c>
      <c r="D29" s="99">
        <f t="shared" si="1"/>
        <v>22.5</v>
      </c>
      <c r="E29" s="151">
        <v>20</v>
      </c>
      <c r="F29" s="97">
        <f t="shared" si="2"/>
        <v>42.5</v>
      </c>
      <c r="G29" s="96">
        <f t="shared" si="3"/>
        <v>5.3125</v>
      </c>
      <c r="H29" s="145">
        <f t="shared" si="4"/>
        <v>6</v>
      </c>
      <c r="I29" s="94">
        <f t="shared" si="5"/>
        <v>5.5</v>
      </c>
      <c r="J29" s="94">
        <v>2</v>
      </c>
      <c r="K29" s="91">
        <f t="shared" si="6"/>
        <v>1078.2</v>
      </c>
      <c r="L29" s="92">
        <f t="shared" si="7"/>
        <v>974.40000000000009</v>
      </c>
      <c r="M29" s="93">
        <f t="shared" si="8"/>
        <v>2739</v>
      </c>
      <c r="N29" s="93">
        <f t="shared" si="9"/>
        <v>1372.99</v>
      </c>
      <c r="O29" s="92">
        <f t="shared" si="10"/>
        <v>6164.59</v>
      </c>
      <c r="P29" s="91">
        <f t="shared" si="11"/>
        <v>1346.2897701149443</v>
      </c>
      <c r="Q29" s="90">
        <f t="shared" si="12"/>
        <v>7510.8797701149442</v>
      </c>
      <c r="R29" s="144">
        <f t="shared" si="13"/>
        <v>1251.8132950191573</v>
      </c>
      <c r="S29" s="88"/>
    </row>
    <row r="30" spans="1:19" s="83" customFormat="1" ht="11.25" x14ac:dyDescent="0.25">
      <c r="A30" s="102">
        <v>1800</v>
      </c>
      <c r="B30" s="152">
        <v>100</v>
      </c>
      <c r="C30" s="100">
        <f t="shared" si="0"/>
        <v>190</v>
      </c>
      <c r="D30" s="99">
        <f t="shared" si="1"/>
        <v>23.75</v>
      </c>
      <c r="E30" s="151">
        <v>20</v>
      </c>
      <c r="F30" s="97">
        <f t="shared" si="2"/>
        <v>43.75</v>
      </c>
      <c r="G30" s="96">
        <f t="shared" si="3"/>
        <v>5.46875</v>
      </c>
      <c r="H30" s="145">
        <f t="shared" si="4"/>
        <v>6</v>
      </c>
      <c r="I30" s="94">
        <f t="shared" si="5"/>
        <v>5.5</v>
      </c>
      <c r="J30" s="94">
        <v>2</v>
      </c>
      <c r="K30" s="91">
        <f t="shared" si="6"/>
        <v>1138.1000000000001</v>
      </c>
      <c r="L30" s="92">
        <f t="shared" si="7"/>
        <v>974.40000000000009</v>
      </c>
      <c r="M30" s="93">
        <f t="shared" si="8"/>
        <v>2739</v>
      </c>
      <c r="N30" s="93">
        <f t="shared" si="9"/>
        <v>1404.92</v>
      </c>
      <c r="O30" s="92">
        <f t="shared" si="10"/>
        <v>6256.42</v>
      </c>
      <c r="P30" s="91">
        <f t="shared" si="11"/>
        <v>1366.3445977011513</v>
      </c>
      <c r="Q30" s="90">
        <f t="shared" si="12"/>
        <v>7622.7645977011516</v>
      </c>
      <c r="R30" s="144">
        <f t="shared" si="13"/>
        <v>1270.4607662835253</v>
      </c>
      <c r="S30" s="88"/>
    </row>
    <row r="31" spans="1:19" s="83" customFormat="1" ht="11.25" x14ac:dyDescent="0.25">
      <c r="A31" s="102">
        <v>1900</v>
      </c>
      <c r="B31" s="152">
        <v>100</v>
      </c>
      <c r="C31" s="100">
        <f t="shared" si="0"/>
        <v>200</v>
      </c>
      <c r="D31" s="99">
        <f t="shared" si="1"/>
        <v>25</v>
      </c>
      <c r="E31" s="151">
        <v>20</v>
      </c>
      <c r="F31" s="97">
        <f t="shared" si="2"/>
        <v>45</v>
      </c>
      <c r="G31" s="96">
        <f t="shared" si="3"/>
        <v>5.625</v>
      </c>
      <c r="H31" s="145">
        <f t="shared" si="4"/>
        <v>6</v>
      </c>
      <c r="I31" s="94">
        <f t="shared" si="5"/>
        <v>5.5</v>
      </c>
      <c r="J31" s="94">
        <v>2</v>
      </c>
      <c r="K31" s="91">
        <f t="shared" si="6"/>
        <v>1198</v>
      </c>
      <c r="L31" s="92">
        <f t="shared" si="7"/>
        <v>974.40000000000009</v>
      </c>
      <c r="M31" s="93">
        <f t="shared" si="8"/>
        <v>2739</v>
      </c>
      <c r="N31" s="93">
        <f t="shared" si="9"/>
        <v>1436.85</v>
      </c>
      <c r="O31" s="92">
        <f t="shared" si="10"/>
        <v>6348.25</v>
      </c>
      <c r="P31" s="91">
        <f t="shared" si="11"/>
        <v>1386.3994252873581</v>
      </c>
      <c r="Q31" s="90">
        <f t="shared" si="12"/>
        <v>7734.6494252873581</v>
      </c>
      <c r="R31" s="144">
        <f t="shared" si="13"/>
        <v>1289.1082375478929</v>
      </c>
      <c r="S31" s="88"/>
    </row>
    <row r="32" spans="1:19" s="83" customFormat="1" ht="11.25" x14ac:dyDescent="0.25">
      <c r="A32" s="102">
        <v>2000</v>
      </c>
      <c r="B32" s="152">
        <v>100</v>
      </c>
      <c r="C32" s="100">
        <f t="shared" si="0"/>
        <v>210</v>
      </c>
      <c r="D32" s="99">
        <f t="shared" si="1"/>
        <v>26.25</v>
      </c>
      <c r="E32" s="151">
        <v>20</v>
      </c>
      <c r="F32" s="97">
        <f t="shared" si="2"/>
        <v>46.25</v>
      </c>
      <c r="G32" s="96">
        <f t="shared" si="3"/>
        <v>5.78125</v>
      </c>
      <c r="H32" s="145">
        <f t="shared" si="4"/>
        <v>6</v>
      </c>
      <c r="I32" s="94">
        <f t="shared" si="5"/>
        <v>5.5</v>
      </c>
      <c r="J32" s="94">
        <v>2</v>
      </c>
      <c r="K32" s="91">
        <f t="shared" si="6"/>
        <v>1257.9000000000001</v>
      </c>
      <c r="L32" s="92">
        <f t="shared" si="7"/>
        <v>974.40000000000009</v>
      </c>
      <c r="M32" s="93">
        <f t="shared" si="8"/>
        <v>2739</v>
      </c>
      <c r="N32" s="93">
        <f t="shared" si="9"/>
        <v>1500.71</v>
      </c>
      <c r="O32" s="92">
        <f t="shared" si="10"/>
        <v>6472.01</v>
      </c>
      <c r="P32" s="91">
        <f t="shared" si="11"/>
        <v>1413.4274712643698</v>
      </c>
      <c r="Q32" s="90">
        <f t="shared" si="12"/>
        <v>7885.4374712643703</v>
      </c>
      <c r="R32" s="144">
        <f t="shared" si="13"/>
        <v>1314.2395785440617</v>
      </c>
      <c r="S32" s="88"/>
    </row>
    <row r="33" spans="1:19" s="83" customFormat="1" ht="11.25" x14ac:dyDescent="0.25">
      <c r="A33" s="102">
        <v>2100</v>
      </c>
      <c r="B33" s="152">
        <v>100</v>
      </c>
      <c r="C33" s="100">
        <f t="shared" si="0"/>
        <v>220</v>
      </c>
      <c r="D33" s="99">
        <f t="shared" si="1"/>
        <v>27.5</v>
      </c>
      <c r="E33" s="151">
        <v>20</v>
      </c>
      <c r="F33" s="97">
        <f t="shared" si="2"/>
        <v>47.5</v>
      </c>
      <c r="G33" s="96">
        <f t="shared" si="3"/>
        <v>5.9375</v>
      </c>
      <c r="H33" s="145">
        <f t="shared" si="4"/>
        <v>6</v>
      </c>
      <c r="I33" s="94">
        <f t="shared" si="5"/>
        <v>5.5</v>
      </c>
      <c r="J33" s="94">
        <v>2</v>
      </c>
      <c r="K33" s="91">
        <f t="shared" si="6"/>
        <v>1317.8</v>
      </c>
      <c r="L33" s="92">
        <f t="shared" si="7"/>
        <v>974.40000000000009</v>
      </c>
      <c r="M33" s="93">
        <f t="shared" si="8"/>
        <v>2739</v>
      </c>
      <c r="N33" s="93">
        <f t="shared" si="9"/>
        <v>1532.6399999999999</v>
      </c>
      <c r="O33" s="92">
        <f t="shared" si="10"/>
        <v>6563.84</v>
      </c>
      <c r="P33" s="91">
        <f t="shared" si="11"/>
        <v>1433.4822988505766</v>
      </c>
      <c r="Q33" s="90">
        <f t="shared" si="12"/>
        <v>7997.3222988505768</v>
      </c>
      <c r="R33" s="144">
        <f t="shared" si="13"/>
        <v>1332.8870498084295</v>
      </c>
      <c r="S33" s="88"/>
    </row>
    <row r="34" spans="1:19" s="83" customFormat="1" ht="11.25" x14ac:dyDescent="0.25">
      <c r="A34" s="102">
        <v>2200</v>
      </c>
      <c r="B34" s="152">
        <v>100</v>
      </c>
      <c r="C34" s="100">
        <f t="shared" si="0"/>
        <v>230</v>
      </c>
      <c r="D34" s="99">
        <f t="shared" si="1"/>
        <v>28.75</v>
      </c>
      <c r="E34" s="151">
        <v>20</v>
      </c>
      <c r="F34" s="97">
        <f t="shared" si="2"/>
        <v>48.75</v>
      </c>
      <c r="G34" s="96">
        <f t="shared" si="3"/>
        <v>6.09375</v>
      </c>
      <c r="H34" s="145">
        <f t="shared" si="4"/>
        <v>7</v>
      </c>
      <c r="I34" s="94">
        <f t="shared" si="5"/>
        <v>6.5</v>
      </c>
      <c r="J34" s="94">
        <v>2</v>
      </c>
      <c r="K34" s="91">
        <f t="shared" si="6"/>
        <v>1377.7</v>
      </c>
      <c r="L34" s="92">
        <f t="shared" si="7"/>
        <v>1136.8</v>
      </c>
      <c r="M34" s="93">
        <f t="shared" si="8"/>
        <v>3237</v>
      </c>
      <c r="N34" s="93">
        <f t="shared" si="9"/>
        <v>1564.57</v>
      </c>
      <c r="O34" s="92">
        <f t="shared" si="10"/>
        <v>7316.07</v>
      </c>
      <c r="P34" s="91">
        <f t="shared" si="11"/>
        <v>1597.7624137931055</v>
      </c>
      <c r="Q34" s="90">
        <f t="shared" si="12"/>
        <v>8913.8324137931049</v>
      </c>
      <c r="R34" s="144">
        <f t="shared" si="13"/>
        <v>1273.4046305418722</v>
      </c>
      <c r="S34" s="88"/>
    </row>
    <row r="35" spans="1:19" s="83" customFormat="1" ht="11.25" x14ac:dyDescent="0.25">
      <c r="A35" s="102">
        <v>2300</v>
      </c>
      <c r="B35" s="152">
        <v>100</v>
      </c>
      <c r="C35" s="100">
        <f t="shared" si="0"/>
        <v>240</v>
      </c>
      <c r="D35" s="99">
        <f t="shared" si="1"/>
        <v>30</v>
      </c>
      <c r="E35" s="151">
        <v>20</v>
      </c>
      <c r="F35" s="97">
        <f t="shared" si="2"/>
        <v>50</v>
      </c>
      <c r="G35" s="96">
        <f t="shared" si="3"/>
        <v>6.25</v>
      </c>
      <c r="H35" s="145">
        <f t="shared" si="4"/>
        <v>7</v>
      </c>
      <c r="I35" s="94">
        <f t="shared" si="5"/>
        <v>6.5</v>
      </c>
      <c r="J35" s="94">
        <v>2</v>
      </c>
      <c r="K35" s="91">
        <f t="shared" si="6"/>
        <v>1437.6000000000001</v>
      </c>
      <c r="L35" s="92">
        <f t="shared" si="7"/>
        <v>1136.8</v>
      </c>
      <c r="M35" s="93">
        <f t="shared" si="8"/>
        <v>3237</v>
      </c>
      <c r="N35" s="93">
        <f t="shared" si="9"/>
        <v>1596.5</v>
      </c>
      <c r="O35" s="92">
        <f t="shared" si="10"/>
        <v>7407.9</v>
      </c>
      <c r="P35" s="91">
        <f t="shared" si="11"/>
        <v>1617.8172413793125</v>
      </c>
      <c r="Q35" s="90">
        <f t="shared" si="12"/>
        <v>9025.7172413793123</v>
      </c>
      <c r="R35" s="144">
        <f t="shared" si="13"/>
        <v>1289.3881773399019</v>
      </c>
      <c r="S35" s="88"/>
    </row>
    <row r="36" spans="1:19" s="80" customFormat="1" ht="11.25" x14ac:dyDescent="0.2">
      <c r="D36" s="87"/>
      <c r="E36" s="86"/>
      <c r="F36" s="85"/>
      <c r="G36" s="84"/>
      <c r="H36" s="84"/>
      <c r="I36" s="84"/>
      <c r="J36" s="84"/>
      <c r="K36" s="84"/>
      <c r="P36" s="83"/>
      <c r="Q36" s="82"/>
      <c r="R36" s="156"/>
    </row>
    <row r="37" spans="1:19" x14ac:dyDescent="0.2">
      <c r="Q37" s="79" t="s">
        <v>168</v>
      </c>
      <c r="R37" s="78">
        <f>AVERAGE(R16:R35)</f>
        <v>1224.2341227695676</v>
      </c>
    </row>
    <row r="42" spans="1:19" s="76" customFormat="1" ht="11.25" x14ac:dyDescent="0.2">
      <c r="R42" s="142"/>
    </row>
    <row r="43" spans="1:19" s="76" customFormat="1" ht="11.25" x14ac:dyDescent="0.2">
      <c r="R43" s="142"/>
    </row>
    <row r="44" spans="1:19" s="76" customFormat="1" ht="11.25" x14ac:dyDescent="0.2">
      <c r="R44" s="142"/>
    </row>
    <row r="45" spans="1:19" s="76" customFormat="1" ht="11.25" x14ac:dyDescent="0.2">
      <c r="R45" s="142"/>
    </row>
    <row r="46" spans="1:19" s="76" customFormat="1" ht="11.25" x14ac:dyDescent="0.2">
      <c r="R46" s="142"/>
    </row>
    <row r="47" spans="1:19" s="76" customFormat="1" ht="11.25" x14ac:dyDescent="0.2">
      <c r="R47" s="142"/>
    </row>
    <row r="49" spans="18:18" s="76" customFormat="1" ht="11.25" x14ac:dyDescent="0.2">
      <c r="R49" s="142"/>
    </row>
  </sheetData>
  <mergeCells count="1">
    <mergeCell ref="A12:E12"/>
  </mergeCells>
  <pageMargins left="0.78740157480314965" right="0.78740157480314965" top="0.98425196850393704" bottom="0.98425196850393704" header="0.51181102362204722" footer="0.51181102362204722"/>
  <pageSetup paperSize="9" scale="52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7</vt:i4>
      </vt:variant>
    </vt:vector>
  </HeadingPairs>
  <TitlesOfParts>
    <vt:vector size="18" baseType="lpstr">
      <vt:lpstr>engcivarq</vt:lpstr>
      <vt:lpstr>engmec</vt:lpstr>
      <vt:lpstr>engeletr</vt:lpstr>
      <vt:lpstr>horaextra</vt:lpstr>
      <vt:lpstr>Deslocamento 1 município</vt:lpstr>
      <vt:lpstr>Deslocamento 2 municípios</vt:lpstr>
      <vt:lpstr>Deslocamento 3 municípios</vt:lpstr>
      <vt:lpstr>Deslocamento 4 municípios</vt:lpstr>
      <vt:lpstr>Deslocamento 5 municípios</vt:lpstr>
      <vt:lpstr>DESLOC.MÉDIO</vt:lpstr>
      <vt:lpstr>total</vt:lpstr>
      <vt:lpstr>DESLOC.MÉDIO!Area_de_impressao</vt:lpstr>
      <vt:lpstr>'Deslocamento 2 municípios'!Area_de_impressao</vt:lpstr>
      <vt:lpstr>'Deslocamento 3 municípios'!Area_de_impressao</vt:lpstr>
      <vt:lpstr>'Deslocamento 4 municípios'!Area_de_impressao</vt:lpstr>
      <vt:lpstr>'Deslocamento 5 municípios'!Area_de_impressao</vt:lpstr>
      <vt:lpstr>horaextra!Area_de_impressao</vt:lpstr>
      <vt:lpstr>horaextra!Titulos_de_impressao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Milena Austregesilo Hereda</cp:lastModifiedBy>
  <cp:lastPrinted>2025-12-22T19:48:00Z</cp:lastPrinted>
  <dcterms:created xsi:type="dcterms:W3CDTF">2019-01-29T18:54:26Z</dcterms:created>
  <dcterms:modified xsi:type="dcterms:W3CDTF">2026-01-15T16:19:14Z</dcterms:modified>
</cp:coreProperties>
</file>